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1840" windowHeight="12210"/>
  </bookViews>
  <sheets>
    <sheet name="расходы" sheetId="1" r:id="rId1"/>
    <sheet name="численность" sheetId="2" r:id="rId2"/>
  </sheets>
  <externalReferences>
    <externalReference r:id="rId3"/>
  </externalReferences>
  <definedNames>
    <definedName name="_xlnm.Print_Titles" localSheetId="0">расходы!$A:$B,расходы!$5:$7</definedName>
    <definedName name="_xlnm.Print_Titles" localSheetId="1">численность!$A:$B,численность!$4:$7</definedName>
    <definedName name="_xlnm.Print_Area" localSheetId="0">расходы!$A$3:$AT$43</definedName>
    <definedName name="_xlnm.Print_Area" localSheetId="1">численность!$A$1:$AV$52</definedName>
  </definedNames>
  <calcPr calcId="114210" fullCalcOnLoad="1"/>
</workbook>
</file>

<file path=xl/calcChain.xml><?xml version="1.0" encoding="utf-8"?>
<calcChain xmlns="http://schemas.openxmlformats.org/spreadsheetml/2006/main">
  <c r="AS45" i="1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R44"/>
  <c r="C9"/>
  <c r="E10"/>
  <c r="I10"/>
  <c r="C10"/>
  <c r="E11"/>
  <c r="I11"/>
  <c r="C11"/>
  <c r="E12"/>
  <c r="C12"/>
  <c r="E13"/>
  <c r="I13"/>
  <c r="C13"/>
  <c r="C14"/>
  <c r="E8"/>
  <c r="I8"/>
  <c r="C8"/>
  <c r="C15"/>
  <c r="C16"/>
  <c r="C17"/>
  <c r="C18"/>
  <c r="E19"/>
  <c r="I19"/>
  <c r="Y19"/>
  <c r="AA19"/>
  <c r="AE19"/>
  <c r="AI19"/>
  <c r="C19"/>
  <c r="E20"/>
  <c r="I20"/>
  <c r="Y20"/>
  <c r="AA20"/>
  <c r="AE20"/>
  <c r="AI20"/>
  <c r="C20"/>
  <c r="E21"/>
  <c r="I21"/>
  <c r="Y21"/>
  <c r="AA21"/>
  <c r="AE21"/>
  <c r="AI21"/>
  <c r="C21"/>
  <c r="E22"/>
  <c r="I22"/>
  <c r="Y22"/>
  <c r="AA22"/>
  <c r="AE22"/>
  <c r="AI22"/>
  <c r="C22"/>
  <c r="E23"/>
  <c r="I23"/>
  <c r="AE23"/>
  <c r="AI23"/>
  <c r="C23"/>
  <c r="E24"/>
  <c r="I24"/>
  <c r="Y24"/>
  <c r="AA24"/>
  <c r="AE24"/>
  <c r="AI24"/>
  <c r="C24"/>
  <c r="E25"/>
  <c r="I25"/>
  <c r="Y25"/>
  <c r="AA25"/>
  <c r="AE25"/>
  <c r="AI25"/>
  <c r="C25"/>
  <c r="E26"/>
  <c r="I26"/>
  <c r="Y26"/>
  <c r="AA26"/>
  <c r="AE26"/>
  <c r="AI26"/>
  <c r="C26"/>
  <c r="E27"/>
  <c r="I27"/>
  <c r="Y27"/>
  <c r="AA27"/>
  <c r="AE27"/>
  <c r="AI27"/>
  <c r="C27"/>
  <c r="E28"/>
  <c r="I28"/>
  <c r="AA28"/>
  <c r="AI28"/>
  <c r="C28"/>
  <c r="E29"/>
  <c r="I29"/>
  <c r="Y29"/>
  <c r="AA29"/>
  <c r="AE29"/>
  <c r="AI29"/>
  <c r="C29"/>
  <c r="E30"/>
  <c r="I30"/>
  <c r="Y30"/>
  <c r="AA30"/>
  <c r="AE30"/>
  <c r="C30"/>
  <c r="Y31"/>
  <c r="AA31"/>
  <c r="AE31"/>
  <c r="AI31"/>
  <c r="C31"/>
  <c r="Y32"/>
  <c r="AA32"/>
  <c r="AE32"/>
  <c r="AI32"/>
  <c r="C32"/>
  <c r="Y33"/>
  <c r="AA33"/>
  <c r="AE33"/>
  <c r="AI33"/>
  <c r="C33"/>
  <c r="Y34"/>
  <c r="AA34"/>
  <c r="AE34"/>
  <c r="AI34"/>
  <c r="C34"/>
  <c r="Y35"/>
  <c r="AA35"/>
  <c r="AE35"/>
  <c r="AI35"/>
  <c r="C35"/>
  <c r="Y36"/>
  <c r="AA36"/>
  <c r="AE36"/>
  <c r="AI36"/>
  <c r="C36"/>
  <c r="Y37"/>
  <c r="AA37"/>
  <c r="AE37"/>
  <c r="AI37"/>
  <c r="C37"/>
  <c r="AE38"/>
  <c r="AI38"/>
  <c r="C38"/>
  <c r="Y39"/>
  <c r="AA39"/>
  <c r="AC39"/>
  <c r="AE39"/>
  <c r="AI39"/>
  <c r="C39"/>
  <c r="Y40"/>
  <c r="AA40"/>
  <c r="AE40"/>
  <c r="AI40"/>
  <c r="C40"/>
  <c r="Y41"/>
  <c r="AA41"/>
  <c r="AE41"/>
  <c r="AI41"/>
  <c r="C41"/>
  <c r="C42"/>
  <c r="C43"/>
  <c r="F8"/>
  <c r="J8"/>
  <c r="L8"/>
  <c r="N8"/>
  <c r="D8"/>
  <c r="F9"/>
  <c r="J9"/>
  <c r="L9"/>
  <c r="N9"/>
  <c r="D9"/>
  <c r="F10"/>
  <c r="J10"/>
  <c r="L10"/>
  <c r="N10"/>
  <c r="D10"/>
  <c r="F11"/>
  <c r="J11"/>
  <c r="L11"/>
  <c r="N11"/>
  <c r="D11"/>
  <c r="F12"/>
  <c r="J12"/>
  <c r="L12"/>
  <c r="N12"/>
  <c r="D12"/>
  <c r="F13"/>
  <c r="J13"/>
  <c r="L13"/>
  <c r="N13"/>
  <c r="AK13"/>
  <c r="D13"/>
  <c r="D14"/>
  <c r="F15"/>
  <c r="J15"/>
  <c r="L15"/>
  <c r="N15"/>
  <c r="D15"/>
  <c r="F16"/>
  <c r="J16"/>
  <c r="L16"/>
  <c r="N16"/>
  <c r="AK16"/>
  <c r="D16"/>
  <c r="F17"/>
  <c r="J17"/>
  <c r="L17"/>
  <c r="N17"/>
  <c r="D17"/>
  <c r="D18"/>
  <c r="F19"/>
  <c r="J19"/>
  <c r="L19"/>
  <c r="N19"/>
  <c r="Z19"/>
  <c r="AB19"/>
  <c r="AF19"/>
  <c r="AK19"/>
  <c r="D19"/>
  <c r="F20"/>
  <c r="J20"/>
  <c r="L20"/>
  <c r="N20"/>
  <c r="Z20"/>
  <c r="AB20"/>
  <c r="AF20"/>
  <c r="AK20"/>
  <c r="D20"/>
  <c r="F21"/>
  <c r="J21"/>
  <c r="L21"/>
  <c r="N21"/>
  <c r="Z21"/>
  <c r="AB21"/>
  <c r="AF21"/>
  <c r="AK21"/>
  <c r="D21"/>
  <c r="F22"/>
  <c r="J22"/>
  <c r="L22"/>
  <c r="N22"/>
  <c r="Z22"/>
  <c r="AB22"/>
  <c r="AF22"/>
  <c r="AK22"/>
  <c r="D22"/>
  <c r="F23"/>
  <c r="J23"/>
  <c r="L23"/>
  <c r="N23"/>
  <c r="Z23"/>
  <c r="AB23"/>
  <c r="AF23"/>
  <c r="AK23"/>
  <c r="D23"/>
  <c r="F24"/>
  <c r="J24"/>
  <c r="L24"/>
  <c r="N24"/>
  <c r="Z24"/>
  <c r="AB24"/>
  <c r="AF24"/>
  <c r="AK24"/>
  <c r="D24"/>
  <c r="F25"/>
  <c r="J25"/>
  <c r="L25"/>
  <c r="N25"/>
  <c r="Z25"/>
  <c r="AB25"/>
  <c r="AF25"/>
  <c r="AK25"/>
  <c r="D25"/>
  <c r="F26"/>
  <c r="J26"/>
  <c r="L26"/>
  <c r="N26"/>
  <c r="Z26"/>
  <c r="AB26"/>
  <c r="AF26"/>
  <c r="AK26"/>
  <c r="D26"/>
  <c r="F27"/>
  <c r="J27"/>
  <c r="L27"/>
  <c r="N27"/>
  <c r="Z27"/>
  <c r="AB27"/>
  <c r="AF27"/>
  <c r="AK27"/>
  <c r="D27"/>
  <c r="F28"/>
  <c r="J28"/>
  <c r="L28"/>
  <c r="N28"/>
  <c r="Z28"/>
  <c r="AB28"/>
  <c r="AF28"/>
  <c r="AK28"/>
  <c r="D28"/>
  <c r="F29"/>
  <c r="J29"/>
  <c r="L29"/>
  <c r="N29"/>
  <c r="Z29"/>
  <c r="AB29"/>
  <c r="AF29"/>
  <c r="AK29"/>
  <c r="D29"/>
  <c r="F30"/>
  <c r="J30"/>
  <c r="L30"/>
  <c r="N30"/>
  <c r="Z30"/>
  <c r="AB30"/>
  <c r="AF30"/>
  <c r="D30"/>
  <c r="F31"/>
  <c r="J31"/>
  <c r="L31"/>
  <c r="N31"/>
  <c r="Z31"/>
  <c r="AB31"/>
  <c r="AD31"/>
  <c r="AF31"/>
  <c r="AK31"/>
  <c r="D31"/>
  <c r="F32"/>
  <c r="J32"/>
  <c r="L32"/>
  <c r="N32"/>
  <c r="Z32"/>
  <c r="AB32"/>
  <c r="AF32"/>
  <c r="D32"/>
  <c r="F33"/>
  <c r="J33"/>
  <c r="L33"/>
  <c r="N33"/>
  <c r="Z33"/>
  <c r="AB33"/>
  <c r="AF33"/>
  <c r="AK33"/>
  <c r="D33"/>
  <c r="F34"/>
  <c r="J34"/>
  <c r="L34"/>
  <c r="N34"/>
  <c r="Z34"/>
  <c r="AB34"/>
  <c r="AF34"/>
  <c r="AK34"/>
  <c r="D34"/>
  <c r="F35"/>
  <c r="J35"/>
  <c r="L35"/>
  <c r="N35"/>
  <c r="Z35"/>
  <c r="AB35"/>
  <c r="AF35"/>
  <c r="AK35"/>
  <c r="D35"/>
  <c r="F36"/>
  <c r="J36"/>
  <c r="L36"/>
  <c r="N36"/>
  <c r="Z36"/>
  <c r="AB36"/>
  <c r="AF36"/>
  <c r="AK36"/>
  <c r="D36"/>
  <c r="F37"/>
  <c r="J37"/>
  <c r="L37"/>
  <c r="N37"/>
  <c r="Z37"/>
  <c r="AB37"/>
  <c r="AF37"/>
  <c r="AK37"/>
  <c r="D37"/>
  <c r="F38"/>
  <c r="J38"/>
  <c r="L38"/>
  <c r="N38"/>
  <c r="Z38"/>
  <c r="AF38"/>
  <c r="AK38"/>
  <c r="D38"/>
  <c r="F39"/>
  <c r="J39"/>
  <c r="L39"/>
  <c r="N39"/>
  <c r="Z39"/>
  <c r="AB39"/>
  <c r="AD39"/>
  <c r="AF39"/>
  <c r="D39"/>
  <c r="F40"/>
  <c r="J40"/>
  <c r="L40"/>
  <c r="N40"/>
  <c r="Z40"/>
  <c r="AB40"/>
  <c r="AF40"/>
  <c r="AK40"/>
  <c r="D40"/>
  <c r="F41"/>
  <c r="J41"/>
  <c r="L41"/>
  <c r="N41"/>
  <c r="Z41"/>
  <c r="AB41"/>
  <c r="AF41"/>
  <c r="AK41"/>
  <c r="D41"/>
  <c r="D42"/>
  <c r="D43"/>
  <c r="AU42" i="2"/>
  <c r="AU43"/>
  <c r="AT42"/>
  <c r="AR42"/>
  <c r="AQ42"/>
  <c r="AQ43"/>
  <c r="AP42"/>
  <c r="AN42"/>
  <c r="AL42"/>
  <c r="AK42"/>
  <c r="AK43"/>
  <c r="AJ42"/>
  <c r="AI42"/>
  <c r="AI43"/>
  <c r="AH42"/>
  <c r="AG42"/>
  <c r="AG43"/>
  <c r="AF42"/>
  <c r="AE42"/>
  <c r="AE43"/>
  <c r="AD42"/>
  <c r="AC42"/>
  <c r="AC43"/>
  <c r="AB42"/>
  <c r="AA42"/>
  <c r="AA43"/>
  <c r="V42"/>
  <c r="S42"/>
  <c r="S43"/>
  <c r="Q42"/>
  <c r="Q43"/>
  <c r="P42"/>
  <c r="O42"/>
  <c r="O43"/>
  <c r="N42"/>
  <c r="M42"/>
  <c r="M43"/>
  <c r="L42"/>
  <c r="K42"/>
  <c r="K43"/>
  <c r="J42"/>
  <c r="I42"/>
  <c r="I43"/>
  <c r="H42"/>
  <c r="G42"/>
  <c r="G43"/>
  <c r="F42"/>
  <c r="AO41"/>
  <c r="AM41"/>
  <c r="Z41"/>
  <c r="X41"/>
  <c r="W41"/>
  <c r="U41"/>
  <c r="R41"/>
  <c r="T41"/>
  <c r="E41"/>
  <c r="D41"/>
  <c r="C41"/>
  <c r="AO40"/>
  <c r="AM40"/>
  <c r="Z40"/>
  <c r="X40"/>
  <c r="W40"/>
  <c r="U40"/>
  <c r="T40"/>
  <c r="R40"/>
  <c r="E40"/>
  <c r="D40"/>
  <c r="C40"/>
  <c r="AO39"/>
  <c r="AM39"/>
  <c r="Z39"/>
  <c r="X39"/>
  <c r="W39"/>
  <c r="U39"/>
  <c r="R39"/>
  <c r="T39"/>
  <c r="E39"/>
  <c r="D39"/>
  <c r="C39"/>
  <c r="AO38"/>
  <c r="AM38"/>
  <c r="Z38"/>
  <c r="X38"/>
  <c r="W38"/>
  <c r="U38"/>
  <c r="T38"/>
  <c r="R38"/>
  <c r="E38"/>
  <c r="D38"/>
  <c r="C38"/>
  <c r="AO37"/>
  <c r="AM37"/>
  <c r="Z37"/>
  <c r="X37"/>
  <c r="W37"/>
  <c r="U37"/>
  <c r="R37"/>
  <c r="T37"/>
  <c r="E37"/>
  <c r="D37"/>
  <c r="C37"/>
  <c r="AO36"/>
  <c r="AM36"/>
  <c r="Z36"/>
  <c r="X36"/>
  <c r="W36"/>
  <c r="U36"/>
  <c r="T36"/>
  <c r="R36"/>
  <c r="E36"/>
  <c r="D36"/>
  <c r="C36"/>
  <c r="AO35"/>
  <c r="AM35"/>
  <c r="Z35"/>
  <c r="X35"/>
  <c r="W35"/>
  <c r="U35"/>
  <c r="R35"/>
  <c r="T35"/>
  <c r="E35"/>
  <c r="D35"/>
  <c r="C35"/>
  <c r="AO34"/>
  <c r="AM34"/>
  <c r="Z34"/>
  <c r="X34"/>
  <c r="W34"/>
  <c r="U34"/>
  <c r="T34"/>
  <c r="R34"/>
  <c r="E34"/>
  <c r="D34"/>
  <c r="C34"/>
  <c r="AO33"/>
  <c r="AM33"/>
  <c r="Z33"/>
  <c r="X33"/>
  <c r="W33"/>
  <c r="U33"/>
  <c r="R33"/>
  <c r="T33"/>
  <c r="E33"/>
  <c r="D33"/>
  <c r="C33"/>
  <c r="AO32"/>
  <c r="AM32"/>
  <c r="Z32"/>
  <c r="X32"/>
  <c r="W32"/>
  <c r="U32"/>
  <c r="T32"/>
  <c r="R32"/>
  <c r="E32"/>
  <c r="D32"/>
  <c r="C32"/>
  <c r="AS31"/>
  <c r="AS42"/>
  <c r="AS43"/>
  <c r="AO31"/>
  <c r="AM31"/>
  <c r="Z31"/>
  <c r="X31"/>
  <c r="W31"/>
  <c r="U31"/>
  <c r="T31"/>
  <c r="R31"/>
  <c r="E31"/>
  <c r="E42"/>
  <c r="E43"/>
  <c r="D31"/>
  <c r="D42"/>
  <c r="D43"/>
  <c r="C31"/>
  <c r="C42"/>
  <c r="C43"/>
  <c r="AO30"/>
  <c r="AM30"/>
  <c r="Z30"/>
  <c r="Y30"/>
  <c r="X30"/>
  <c r="W30"/>
  <c r="U30"/>
  <c r="T30"/>
  <c r="R30"/>
  <c r="AO29"/>
  <c r="AM29"/>
  <c r="Z29"/>
  <c r="Y29"/>
  <c r="X29"/>
  <c r="W29"/>
  <c r="U29"/>
  <c r="R29"/>
  <c r="T29"/>
  <c r="AO28"/>
  <c r="AM28"/>
  <c r="Z28"/>
  <c r="Y28"/>
  <c r="X28"/>
  <c r="W28"/>
  <c r="U28"/>
  <c r="T28"/>
  <c r="R28"/>
  <c r="AO27"/>
  <c r="AM27"/>
  <c r="Z27"/>
  <c r="Y27"/>
  <c r="X27"/>
  <c r="W27"/>
  <c r="U27"/>
  <c r="R27"/>
  <c r="T27"/>
  <c r="AO26"/>
  <c r="AM26"/>
  <c r="Z26"/>
  <c r="Y26"/>
  <c r="X26"/>
  <c r="W26"/>
  <c r="U26"/>
  <c r="T26"/>
  <c r="R26"/>
  <c r="AO25"/>
  <c r="AM25"/>
  <c r="Z25"/>
  <c r="Y25"/>
  <c r="X25"/>
  <c r="W25"/>
  <c r="U25"/>
  <c r="R25"/>
  <c r="T25"/>
  <c r="AO24"/>
  <c r="AM24"/>
  <c r="Z24"/>
  <c r="Y24"/>
  <c r="X24"/>
  <c r="W24"/>
  <c r="U24"/>
  <c r="T24"/>
  <c r="R24"/>
  <c r="AO23"/>
  <c r="AM23"/>
  <c r="Z23"/>
  <c r="Y23"/>
  <c r="X23"/>
  <c r="W23"/>
  <c r="U23"/>
  <c r="R23"/>
  <c r="T23"/>
  <c r="AO22"/>
  <c r="AM22"/>
  <c r="Z22"/>
  <c r="Y22"/>
  <c r="X22"/>
  <c r="W22"/>
  <c r="U22"/>
  <c r="T22"/>
  <c r="R22"/>
  <c r="AO21"/>
  <c r="AM21"/>
  <c r="Z21"/>
  <c r="Y21"/>
  <c r="X21"/>
  <c r="W21"/>
  <c r="U21"/>
  <c r="R21"/>
  <c r="T21"/>
  <c r="AO20"/>
  <c r="AM20"/>
  <c r="Z20"/>
  <c r="Y20"/>
  <c r="X20"/>
  <c r="W20"/>
  <c r="U20"/>
  <c r="T20"/>
  <c r="R20"/>
  <c r="AO19"/>
  <c r="AO42"/>
  <c r="AO43"/>
  <c r="AM19"/>
  <c r="AM42"/>
  <c r="Z19"/>
  <c r="Z42"/>
  <c r="Y19"/>
  <c r="Y42"/>
  <c r="Y43"/>
  <c r="X19"/>
  <c r="X42"/>
  <c r="X43"/>
  <c r="W19"/>
  <c r="W42"/>
  <c r="U19"/>
  <c r="U42"/>
  <c r="R19"/>
  <c r="R42"/>
  <c r="AU18"/>
  <c r="AT18"/>
  <c r="AT43"/>
  <c r="AS18"/>
  <c r="AR18"/>
  <c r="AR43"/>
  <c r="AQ18"/>
  <c r="AP18"/>
  <c r="AP43"/>
  <c r="AN18"/>
  <c r="AN43"/>
  <c r="AL18"/>
  <c r="AL43"/>
  <c r="AK18"/>
  <c r="AJ18"/>
  <c r="AJ43"/>
  <c r="AI18"/>
  <c r="AH18"/>
  <c r="AH43"/>
  <c r="AG18"/>
  <c r="AF18"/>
  <c r="AF43"/>
  <c r="AE18"/>
  <c r="AD18"/>
  <c r="AD43"/>
  <c r="AC18"/>
  <c r="AB18"/>
  <c r="AB43"/>
  <c r="AA18"/>
  <c r="Y18"/>
  <c r="X18"/>
  <c r="V18"/>
  <c r="V43"/>
  <c r="S18"/>
  <c r="R18"/>
  <c r="Q18"/>
  <c r="P18"/>
  <c r="P43"/>
  <c r="O18"/>
  <c r="N18"/>
  <c r="N43"/>
  <c r="M18"/>
  <c r="L18"/>
  <c r="L43"/>
  <c r="K18"/>
  <c r="J18"/>
  <c r="J43"/>
  <c r="I18"/>
  <c r="H18"/>
  <c r="H43"/>
  <c r="G18"/>
  <c r="F18"/>
  <c r="F43"/>
  <c r="E18"/>
  <c r="D18"/>
  <c r="C18"/>
  <c r="AO17"/>
  <c r="AM17"/>
  <c r="Z17"/>
  <c r="X17"/>
  <c r="W17"/>
  <c r="U17"/>
  <c r="T17"/>
  <c r="R17"/>
  <c r="AO16"/>
  <c r="AM16"/>
  <c r="Z16"/>
  <c r="X16"/>
  <c r="W16"/>
  <c r="U16"/>
  <c r="T16"/>
  <c r="R16"/>
  <c r="AO15"/>
  <c r="AO18"/>
  <c r="AM15"/>
  <c r="AM18"/>
  <c r="Z15"/>
  <c r="Z18"/>
  <c r="X15"/>
  <c r="W15"/>
  <c r="W18"/>
  <c r="U15"/>
  <c r="U18"/>
  <c r="T15"/>
  <c r="T18"/>
  <c r="R15"/>
  <c r="AU14"/>
  <c r="AT14"/>
  <c r="AS14"/>
  <c r="AR14"/>
  <c r="AQ14"/>
  <c r="AP14"/>
  <c r="AO14"/>
  <c r="AN14"/>
  <c r="AL14"/>
  <c r="AK14"/>
  <c r="AJ14"/>
  <c r="AI14"/>
  <c r="AH14"/>
  <c r="AG14"/>
  <c r="AF14"/>
  <c r="AE14"/>
  <c r="AD14"/>
  <c r="AC14"/>
  <c r="AB14"/>
  <c r="AA14"/>
  <c r="Y14"/>
  <c r="W14"/>
  <c r="V14"/>
  <c r="S14"/>
  <c r="Q14"/>
  <c r="P14"/>
  <c r="O14"/>
  <c r="N14"/>
  <c r="M14"/>
  <c r="L14"/>
  <c r="K14"/>
  <c r="J14"/>
  <c r="I14"/>
  <c r="H14"/>
  <c r="G14"/>
  <c r="F14"/>
  <c r="E14"/>
  <c r="D14"/>
  <c r="C14"/>
  <c r="AO13"/>
  <c r="AM13"/>
  <c r="Z13"/>
  <c r="X13"/>
  <c r="W13"/>
  <c r="U13"/>
  <c r="R13"/>
  <c r="T13"/>
  <c r="AO12"/>
  <c r="AM12"/>
  <c r="Z12"/>
  <c r="X12"/>
  <c r="W12"/>
  <c r="U12"/>
  <c r="R12"/>
  <c r="T12"/>
  <c r="AO11"/>
  <c r="AM11"/>
  <c r="Z11"/>
  <c r="X11"/>
  <c r="W11"/>
  <c r="U11"/>
  <c r="R11"/>
  <c r="T11"/>
  <c r="AO10"/>
  <c r="AM10"/>
  <c r="Z10"/>
  <c r="X10"/>
  <c r="W10"/>
  <c r="U10"/>
  <c r="R10"/>
  <c r="T10"/>
  <c r="AO9"/>
  <c r="AM9"/>
  <c r="AM14"/>
  <c r="Z9"/>
  <c r="Z14"/>
  <c r="X9"/>
  <c r="X14"/>
  <c r="W9"/>
  <c r="U9"/>
  <c r="U14"/>
  <c r="R9"/>
  <c r="R14"/>
  <c r="AO8"/>
  <c r="AM8"/>
  <c r="Z8"/>
  <c r="X8"/>
  <c r="W8"/>
  <c r="U8"/>
  <c r="R8"/>
  <c r="T8"/>
  <c r="AR43" i="1"/>
  <c r="AQ43"/>
  <c r="AP43"/>
  <c r="AO43"/>
  <c r="AN43"/>
  <c r="AM43"/>
  <c r="AL43"/>
  <c r="AH42"/>
  <c r="AG42"/>
  <c r="X42"/>
  <c r="W42"/>
  <c r="V42"/>
  <c r="U42"/>
  <c r="S42"/>
  <c r="Q42"/>
  <c r="O42"/>
  <c r="M42"/>
  <c r="K42"/>
  <c r="H41"/>
  <c r="G41"/>
  <c r="H40"/>
  <c r="G40"/>
  <c r="AC42"/>
  <c r="H39"/>
  <c r="G39"/>
  <c r="H38"/>
  <c r="G38"/>
  <c r="H37"/>
  <c r="G37"/>
  <c r="H36"/>
  <c r="G36"/>
  <c r="H35"/>
  <c r="G35"/>
  <c r="H34"/>
  <c r="G34"/>
  <c r="H33"/>
  <c r="G33"/>
  <c r="H32"/>
  <c r="G32"/>
  <c r="AD4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AF42"/>
  <c r="N42"/>
  <c r="L42"/>
  <c r="J42"/>
  <c r="I42"/>
  <c r="H19"/>
  <c r="H42"/>
  <c r="G19"/>
  <c r="G42"/>
  <c r="F42"/>
  <c r="E42"/>
  <c r="AI18"/>
  <c r="AH18"/>
  <c r="AG18"/>
  <c r="AF18"/>
  <c r="AE18"/>
  <c r="AD18"/>
  <c r="AC18"/>
  <c r="AB18"/>
  <c r="AA18"/>
  <c r="Z18"/>
  <c r="Y18"/>
  <c r="X18"/>
  <c r="W18"/>
  <c r="V18"/>
  <c r="U18"/>
  <c r="S18"/>
  <c r="Q18"/>
  <c r="O18"/>
  <c r="M18"/>
  <c r="K18"/>
  <c r="I18"/>
  <c r="E18"/>
  <c r="H17"/>
  <c r="G17"/>
  <c r="AK18"/>
  <c r="H16"/>
  <c r="G16"/>
  <c r="N18"/>
  <c r="L18"/>
  <c r="J18"/>
  <c r="H15"/>
  <c r="H18"/>
  <c r="G15"/>
  <c r="G18"/>
  <c r="F18"/>
  <c r="AI14"/>
  <c r="AH14"/>
  <c r="AH43"/>
  <c r="AG14"/>
  <c r="AG43"/>
  <c r="AF14"/>
  <c r="AF43"/>
  <c r="AE14"/>
  <c r="AD14"/>
  <c r="AD43"/>
  <c r="AC14"/>
  <c r="AC43"/>
  <c r="AB14"/>
  <c r="AA14"/>
  <c r="Z14"/>
  <c r="Y14"/>
  <c r="X14"/>
  <c r="X43"/>
  <c r="W14"/>
  <c r="W43"/>
  <c r="V14"/>
  <c r="V43"/>
  <c r="U14"/>
  <c r="U43"/>
  <c r="S14"/>
  <c r="S43"/>
  <c r="Q14"/>
  <c r="Q43"/>
  <c r="O14"/>
  <c r="O43"/>
  <c r="M14"/>
  <c r="M43"/>
  <c r="K14"/>
  <c r="K43"/>
  <c r="AK14"/>
  <c r="H13"/>
  <c r="G13"/>
  <c r="H12"/>
  <c r="G12"/>
  <c r="H11"/>
  <c r="G11"/>
  <c r="I14"/>
  <c r="H10"/>
  <c r="G10"/>
  <c r="E14"/>
  <c r="N14"/>
  <c r="L14"/>
  <c r="J14"/>
  <c r="H9"/>
  <c r="H14"/>
  <c r="G9"/>
  <c r="G14"/>
  <c r="F14"/>
  <c r="N43"/>
  <c r="J43"/>
  <c r="H8"/>
  <c r="H43"/>
  <c r="G8"/>
  <c r="G43"/>
  <c r="F43"/>
  <c r="R43" i="2"/>
  <c r="W43"/>
  <c r="AM43"/>
  <c r="U43"/>
  <c r="Z43"/>
  <c r="T9"/>
  <c r="T14"/>
  <c r="T19"/>
  <c r="T42"/>
  <c r="E43" i="1"/>
  <c r="I43"/>
  <c r="L43"/>
  <c r="Y42"/>
  <c r="Y43"/>
  <c r="AA42"/>
  <c r="AA43"/>
  <c r="AE42"/>
  <c r="AE43"/>
  <c r="T43" i="2"/>
  <c r="AI42" i="1"/>
  <c r="AI43"/>
  <c r="Z42"/>
  <c r="Z43"/>
  <c r="AB42"/>
  <c r="AB43"/>
  <c r="AK42"/>
  <c r="AK43"/>
</calcChain>
</file>

<file path=xl/comments1.xml><?xml version="1.0" encoding="utf-8"?>
<comments xmlns="http://schemas.openxmlformats.org/spreadsheetml/2006/main">
  <authors>
    <author>User</author>
  </authors>
  <commentList>
    <comment ref="U4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<sst xmlns="http://schemas.openxmlformats.org/spreadsheetml/2006/main" count="316" uniqueCount="167">
  <si>
    <t>Приложение № 2</t>
  </si>
  <si>
    <t>я</t>
  </si>
  <si>
    <t>Расходы, предусмотренные на функционирование учреждения</t>
  </si>
  <si>
    <t>Наименование учреждения</t>
  </si>
  <si>
    <t>Всего расходов, в том числе:</t>
  </si>
  <si>
    <t xml:space="preserve">Заработная плата </t>
  </si>
  <si>
    <t>в том числе:</t>
  </si>
  <si>
    <t>Начисления</t>
  </si>
  <si>
    <t xml:space="preserve">Коммунальные и услуги </t>
  </si>
  <si>
    <t>Услуги связи</t>
  </si>
  <si>
    <t xml:space="preserve">Налог на имущество </t>
  </si>
  <si>
    <t>Налог на землю</t>
  </si>
  <si>
    <t>Другие виды налогов</t>
  </si>
  <si>
    <t>Вневедомственная охрана</t>
  </si>
  <si>
    <t>Аренда</t>
  </si>
  <si>
    <t>ГСМ</t>
  </si>
  <si>
    <t>Транспортные расходы</t>
  </si>
  <si>
    <t>Расходы на проведение мероприятий</t>
  </si>
  <si>
    <t>Текущий ремонт</t>
  </si>
  <si>
    <t>Капитальный ремонт</t>
  </si>
  <si>
    <t xml:space="preserve">Материальные затраты (расшифровать по основным видам) </t>
  </si>
  <si>
    <t>зарплата получателей МРОТ</t>
  </si>
  <si>
    <t xml:space="preserve"> 2018 год (без учета декабря 2017г.)                      </t>
  </si>
  <si>
    <t xml:space="preserve">2019 год </t>
  </si>
  <si>
    <t xml:space="preserve"> 2018 год (без учета декабря 2017г.)                     </t>
  </si>
  <si>
    <t xml:space="preserve"> 2018 год                      </t>
  </si>
  <si>
    <t>Примечание, тыс.руб.</t>
  </si>
  <si>
    <t>ГБУК "Республиканский дом народного творчества"</t>
  </si>
  <si>
    <t xml:space="preserve">900- ДНЕ
5000- Горцы
4100- прочие мероприятия
</t>
  </si>
  <si>
    <t>13 950 - проведение мероприятий</t>
  </si>
  <si>
    <t>ГБУ РД «Национальный музей им. А. Тахо-Годи»</t>
  </si>
  <si>
    <t xml:space="preserve">699 - реализация выставочных проектов (233*3=699) Указ Президента РФ № 597;
</t>
  </si>
  <si>
    <t xml:space="preserve">2580 - реализация выставочных проектов (430*6=2580) 
10500- пополнение музейных фондов
9945 - создание новых экспозиций в филиалах
1820,3 - приобретение автотранспорта
4226,9 -установка системы видеонаблюдения
1859 - приобретение систем видеонаблюдения для 11 филиалов
940- приобретение стульев
530-приобретение гигрометра
840- приобретение пуфиков -сидений для посетителей
</t>
  </si>
  <si>
    <t>ГБУ «Дагестанский музей изобразительных искусств им. П.С. Гамзатовой»</t>
  </si>
  <si>
    <t xml:space="preserve">1165 - реализация выставочных проектов (233*5=1165) Указ Президента РФ № 597;
1000- пополнение музейных фондов
 </t>
  </si>
  <si>
    <t>1720 - реализация выставочных проектов (430*4=1720) 
3250- пополнение музейных фондов
1122,4+250-издание альбомов и буклетов
12700,5 - Установка и монтаж современной системы освещения и затемнения для поддержания светового режима в помещениях музея
900-приобретение интерактивных столов
3000 - приобретение оборудования для хранения графики и живописи</t>
  </si>
  <si>
    <t>ГБУ «Дербентский государственный историко-архитектурный и художественный музей-заповедник»</t>
  </si>
  <si>
    <t xml:space="preserve">1165 - реализация выставочных проектов (233*5=1165) Указ Президента РФ № 597;
</t>
  </si>
  <si>
    <t xml:space="preserve">1720 - реализация выставочных проектов (430*4=1720)
1900- пополнение музейных фондов
1407+1400 - приобретение автотранспорта
1000-издание альбомов и буклетов
450 - инвентаризация объектов культурного наследия
2000-приобретение робота гида
</t>
  </si>
  <si>
    <t>ГБУ «Музей-заповедник – этнографический комплекс «Дагестанский аул»</t>
  </si>
  <si>
    <t xml:space="preserve">466 - реализация выставочных проектов (233*2=466) Указ Президента РФ № 597;
</t>
  </si>
  <si>
    <t xml:space="preserve">430 - реализация выставочных проектов 
(430*1=430)
10970- пополнение музейных фондов
1650 - приобретение транспорта
548-приобретение промовизора
1240,4 - приобретение интерактивного стола
</t>
  </si>
  <si>
    <t xml:space="preserve">ГБУ РД "Музей истории мировых культур и религий" </t>
  </si>
  <si>
    <t xml:space="preserve">233 - реализация выставочных проектов  Указ Президента РФ № 597;
</t>
  </si>
  <si>
    <t>1425 - приобретение траспорта
1725-пополнение музейного фонда
430 - реализация выставочных проектов 
(430*1=430)
450- оцифровка храмов
299-панорамная камера
280 - приобретение автономного шлема виртуальной реальности</t>
  </si>
  <si>
    <t>Итого музеи:</t>
  </si>
  <si>
    <t>ГБУ «Национальная библиотека Республики Дагестан им. Р. Гамзатова»</t>
  </si>
  <si>
    <t xml:space="preserve">3000 - электронная библиотека. "Обеспечить создание электронных публичных библиотек" Указ Президента РФ № 597;
1000 - подписка периодики;
</t>
  </si>
  <si>
    <t xml:space="preserve">500- комплектование книжных фондов
1000 - подписка периодики;
5921,3-Оборудование для электронной библиотеки
</t>
  </si>
  <si>
    <t>ГБУ «Республиканская детская библиотека им. Н. Юсупова»</t>
  </si>
  <si>
    <t xml:space="preserve">500 - подписка периодики;
</t>
  </si>
  <si>
    <t xml:space="preserve">300 - подписка периодики;
500- комплектование книжных фондов
250- пополнение библиотечного фонда
</t>
  </si>
  <si>
    <t>ГБУ «Республиканская специальная библиотека для слепых»</t>
  </si>
  <si>
    <t xml:space="preserve">20 - аттестация рабочих мест;
99,9 - экологиечский паспорт;
</t>
  </si>
  <si>
    <t>200-программа для создания электроного каталога
160- приобретение говорящих книг на флешках
450-приобретение автотранспорта</t>
  </si>
  <si>
    <t>Итого библиотеки:</t>
  </si>
  <si>
    <t xml:space="preserve">ГБУ «Государственный республиканский русский драматический театр им. М. Горького» </t>
  </si>
  <si>
    <t xml:space="preserve">1.День работников культуры - 550 тыс.руб. 
2. На разработку экологического паспорта - 99,9 тыс.руб.
3. Расчет количества аттестуемых мест 102 – 256,5 тыс. руб. (исполнение № 426 – ФЗ «О специальной оценке условий труда»); 
4. Приобретение служебного автотранспорта - 950  тыс.руб.
5. Приобретение грузопассажирского лифта - 1500  тыс.руб.
6. Приобретение головных микрофонов - 428  тыс.руб.
7. Перементальное видео наблюдение -1200 тыс.руб.
8.Постановочные  расходы - 500 тыс.руб.
</t>
  </si>
  <si>
    <t>1. Приобретение звукового оборудования - 5000 тыс. руб.
2. Приобретение светового оборудования - 5000 тыс. руб.
3. Светодиодный экран - 8960 тыс. руб.
4. Приобретение  грузавого автотранспорта - 1200 тыс. руб.
5. Приобретение пассажирской газели - 1600 тыс. руб.
6. Постановочные расходы - 2000 тыс. руб.</t>
  </si>
  <si>
    <t>ГБУ «Аварский музыкально-драматический театр им. Г. Цадасы»</t>
  </si>
  <si>
    <t xml:space="preserve">1. На разработку экологического паспорта - 99,9 тыс.руб.
2. Расчет количества аттестуемых мест 78 – 195 тыс. руб. (исполнение № 426 – ФЗ «О специальной оценке условий труда»);
3. Постановочные  расходы - 500 тыс.руб.; </t>
  </si>
  <si>
    <t>1. Микшерный пульт - 1027,1 тыс. руб.
2. Мультимедийный проектор - 840 тыс. руб.
3. Постановочные расходы - 2000 тыс. руб.</t>
  </si>
  <si>
    <t>ГБУ «Дагестанский государственный кумыкский музыкально-драматический театр им. А.-П. Салаватова»</t>
  </si>
  <si>
    <t>1. Служебный автотранспорт- 950 тыс. руб.
2. Приобретение 2 грузовых газелей- 2400 тыс. руб.
3. Приобретение звукового оборудования - 2721,7 тыс. руб.
4. Приобретение светового оборудования- 9947,9 тыс. руб.
5. Постановочные расходы - 2000 тыс. руб.</t>
  </si>
  <si>
    <t xml:space="preserve">ГБУ «Даргинский государственный музыкально-драматический театр им. О. Батырая» </t>
  </si>
  <si>
    <t>1. На разработку экологического паспорта - 99,9 тыс.руб.
2. Расчет количества аттестуемых мест 68 – 170 тыс. руб. (исполнение № 426 – ФЗ «О специальной оценке условий труда»);
3. Приобретение микроавтобуса Next - A63R42  - 1300 тыс. руб.</t>
  </si>
  <si>
    <t>1. Служебный автотранспорт - 950 тыс. руб.
2. Приобретение  грузовой газели - 1200 тыс. руб.
3. Приобретение автобус ПАЗ - 2800 тыс. руб.
4. Постановочные расходы - 1500 тыс. руб.</t>
  </si>
  <si>
    <t>ГБУ «Государственный лезгинский музыкально-драматический театр им. С. Стальского»</t>
  </si>
  <si>
    <t xml:space="preserve">1. На разработку экологического паспорта - 99,9 тыс.руб.
2. Расчет количества аттестуемых мест 44 – 110 тыс. руб. (исполнение № 426 – ФЗ «О специальной оценке условий труда»); </t>
  </si>
  <si>
    <t>1. Служебный автотранспорт - 950 тыс. руб.
2. Приобретение  грузовой газели - 1200 тыс. руб.
3. Приобретение микроавтобуса газель Next -1600 тыс. руб.
4. Постановочные расходы - 1500 тыс. руб.</t>
  </si>
  <si>
    <t>ГБУ «Лакский государственный музыкально-драматический театр им. Э. Капиева»</t>
  </si>
  <si>
    <t xml:space="preserve">1. На разработку экологического паспорта - 99,9 тыс.руб.
2. Расчет количества аттестуемых мест 46 – 110 тыс. руб. (исполнение № 426 – ФЗ «О специальной оценке условий труда»); 
3. Постановочные  расходы - 500 тыс.руб.; </t>
  </si>
  <si>
    <t>1. Служебный автотранспорт - 950 тыс. руб.
2. Приобретение  грузовой газели - 1200 тыс. руб.
3. Приобретение микроавтобуса газель Next -1600 тыс. руб.
4. Головные микрофоны - 225 тыс. руб. 
5. Постановочные расходы - 2000 тыс. руб.</t>
  </si>
  <si>
    <t>ГБУ «Дагестанский государственный театр кукол»</t>
  </si>
  <si>
    <t xml:space="preserve">1. На разработку экологического паспорта - 99,9 тыс.руб.
2. Расчет количества аттестуемых мест 66 – 165 тыс. руб. (исполнение № 426 – ФЗ «О специальной оценке условий труда»); </t>
  </si>
  <si>
    <t>1. Служебный автотранспорт - 950 тыс. руб.
2. Приобретение автобус Higer KLQ 6826Q - 3700 тыс. руб.
3. Постановочные расходы - 900 тыс. руб.</t>
  </si>
  <si>
    <t>ГБУ «Дагестанский государственный театр оперы и балета»</t>
  </si>
  <si>
    <t>1. На разработку экологического паспорта - 99,9 тыс.руб.
2. Расчет количества аттестуемых мест 150 – 375 тыс. руб. (исполнение № 426 – ФЗ «О специальной оценке условий труда»); 
3. Запись 2*25*4 = 200 тыс. руб.
4. Приобретени музыкальных инструментов для симф. оркестра - 2 000 т.р.</t>
  </si>
  <si>
    <t>1. Служебный автотранспорт- 980 тыс. руб.
2. Приобретение автобус КАВЗ 423861- 4700 тыс. руб.
3. Головные микрофоны- 500 тыс. руб.
4. Постановочные расходы - 2200 тыс. руб.</t>
  </si>
  <si>
    <t>ГБУ «Азербайджанский государственный драматический театр»</t>
  </si>
  <si>
    <t xml:space="preserve">1. На разработку экологического паспорта - 99,9 тыс.руб.
2. Расчет количества аттестуемых мест 34 – 85 тыс. руб. (исполнение № 426 – ФЗ «О специальной оценке условий труда»); 
</t>
  </si>
  <si>
    <t>1. Служебный автотранспорт - 950 тыс. руб.
2. Приобретение Mercedes-Benz Sprinter Tourist- 3626 тыс. руб.
3. Постановочные расходы - 1000 тыс. руб.</t>
  </si>
  <si>
    <t>ГБУ «Государственный ногайский драматический театр»</t>
  </si>
  <si>
    <t xml:space="preserve">1. На разработку экологического паспорта - 99,9 тыс.руб.
2. Расчет количества аттестуемых мест 22 – 55 тыс. руб. (исполнение № 426 – ФЗ «О специальной оценке условий труда»); 
3. Постановочные  расходы - 200 тыс.руб.; </t>
  </si>
  <si>
    <t>1. Служебный автотранспорт - 950 тыс. руб.
2. Приобретение микроавтобуса газель Next -1600 тыс. руб.
3. Постановочные расходы - 1000 тыс. руб.</t>
  </si>
  <si>
    <t>ГБУ «Государственный табасаранский драматический театр»</t>
  </si>
  <si>
    <t xml:space="preserve">1. На разработку экологического паспорта - 99,9 тыс.руб.
2. Расчет количества аттестуемых мест 24 – 60 тыс. руб. (исполнение № 426 – ФЗ «О специальной оценке условий труда»); 
3. Постановочные  расходы - 200 тыс.руб.; </t>
  </si>
  <si>
    <t>1. Служебный автотранспорт - 950 тыс. руб.
2. Приобретение  грузовой газели - 1200 тыс. руб.
3. Приобретение микроавтобуса газель Next -1600 тыс. руб.
4. Постановочные расходы - 1000 тыс. руб.</t>
  </si>
  <si>
    <t>ГБУ РД «Театр поэзии»</t>
  </si>
  <si>
    <t xml:space="preserve">1. На разработку экологического паспорта - 99,9 тыс.руб.
2. Расчет количества аттестуемых мест 14 – 35 тыс. руб. (исполнение № 426 – ФЗ «О специальной оценке условий труда»); 
3. Постановочные  расходы - 200 тыс.руб.; </t>
  </si>
  <si>
    <t>1. Приобретение микроавтобуса газель Next - 1600 тыс. руб.
2. Приобретение дорожки - 500 тыс. руб.</t>
  </si>
  <si>
    <t>ГБУ «Дагестанская государственная филармония им. Т. Мурадова»</t>
  </si>
  <si>
    <t>1. 99,9 - экологичсекий паспорт;
2. 200 - аттестация рабочих мест;
3. 200 - записи фонограммы;
4. 1700 - приобретение переносной звуковой аппаратуры;
5. 150 - концертные костюмы коллективу камерного оркества</t>
  </si>
  <si>
    <t xml:space="preserve">1. 2495  - приобретение музыкальных инструментов
2. 200 - запись фонограм;
3. 2370 - переносная звуковая аппаратура 5 квт. (акустика , усилители, обработка) комплект;
5. 104 - концертные костюмы коллективу Вокально инстументального ансамбля " Волна"; и"В восточном стиле"; 
6.1705 - грузовой автомобиль ГАЗон NEXT;
7. 1500 - микроавтобус ГАЗель NEXT;
</t>
  </si>
  <si>
    <t xml:space="preserve">ГБУ «Государственный  ансамбль песни и танца «Дагестан» </t>
  </si>
  <si>
    <t>1. 200 - сценические костюмы;
2. 160-аттестация рабочих мест;
3. 99,9-экологический паспорт</t>
  </si>
  <si>
    <t xml:space="preserve">1. 800 -  служебный автомобиль Hyundai Solaris;
2. 4700 - автобус КАВЗ 423861;
3.630 - сценические костюмы;
</t>
  </si>
  <si>
    <t>ГБУ «Государственный ансамбль танца народов Кавказа «Молодость Дагестана»</t>
  </si>
  <si>
    <t>1. 99,9-экологический паспорт;
2. 100 - аттестация рабочих мест;
3. 129,5-комплект для костюмов артистов (ичиги, шаровары)</t>
  </si>
  <si>
    <t>1. 500 - сценические костюмы женские;
2.1500 - микроавтобус ГАЗель NEXT</t>
  </si>
  <si>
    <t>ГБУ «Ногайский государственный оркестр народных инструментов»</t>
  </si>
  <si>
    <t>1. 400 - сценические костюмы;
2. 99,9-экологический паспорт;
3. 40 - аттестация рабочих мест</t>
  </si>
  <si>
    <t>1. 400 -  артистические костюмы
2. 800 - служебный автомобиль Hyundai Solaris
3. 1500 - микроавтобус ГАЗель NEXT</t>
  </si>
  <si>
    <t>ГБУ «Государственный кизлярский терский ансамбль казачьей песни»</t>
  </si>
  <si>
    <t>1. 1700-приобретение автотранспорта;
2. 400 - сценические костюмы;
3. 99,9- экологический паспорт;
4. 40 - аттестация рабочих мест</t>
  </si>
  <si>
    <t>1. 260 - концертный баян ТУЛА БН-24;
2.37 - офисный ПК Intel Pentium G4560;
3. 40 - ноутбук DELL Inspiron 5378 (5378-7841);
4. 31 - микрофон ОКТАВА МК-105 ПРОФЕССИОНАЛЬНЫЙ;
5. 50 - микшерный пульт BEHRINGER PMP4000;
6. 100 - активные колонки YAMAHA DSR115.</t>
  </si>
  <si>
    <t>ГБУ «Государственный оркестр народных инструментов Республики Дагестан»</t>
  </si>
  <si>
    <t>1. 150 - приобретение музыкальных инстурментов;
2.99,9-экологический паспорт;
3. 50 - аттестация рабочих мест</t>
  </si>
  <si>
    <t>1. 800 - служебный автомобиль Hyundai Solaris
2. 1500 - микроавтобус ГАЗель NEXT;
3. 400 - национальная гармонь.</t>
  </si>
  <si>
    <t>ГБУ «Государственный ногайский фольклорно-этнографический ансамбль «Айланай»</t>
  </si>
  <si>
    <t>1. 1350- приобретение микроавтобуса на 18 мест;
2. 150 - сценические костюмы;
3. 99,9-экологический паспорт;
4. 50- аттестация рабочих мест</t>
  </si>
  <si>
    <t>1. 1500 - микроавтобус ГАЗель NEXT 7-ми местный цельнометаллический; 
2. 800 - служебный автомобиль Hyundai Solaris$
3. 136 - микшер Dynacord CMS 1000-3;
4. 182 - акустическая система;
5.161 - активный сабвуфер;
6. 47,2 - SHURE GLXD2/SM86 Z2 2.4 GHz ручной передатчик для цифровых радиосистем с капсюлем конденсаторного микрофона SM86;
7. 78,63 - радиосистема с головным микрофоном ME 3-II Sennheiser XSW 1-ME3-A;
8. 57,26 - микрофон конденсаторный кардиоидный с переключаемой диаграммой направленности, 20-20000Гц, 20мВ/Па.</t>
  </si>
  <si>
    <t xml:space="preserve">ГБУ «Академический заслуженный ансамбль танца Дагестана «Лезгинка» </t>
  </si>
  <si>
    <t>1. 800 - комплект для костюмов артистов (сабли, подвязки, кинжалы, щиты, гримм);
2. 170 - установка теплосчетчиков;
3. 99,9 - экологический паспорт;
4. 150 - аттестация рабочих мест</t>
  </si>
  <si>
    <t xml:space="preserve">1. 7716,5 -  костюмы для артистического персонала;
2. 3200 - аренда залов и оборудования в целях организации и проведения мероприятий;
3. 2223 - комплект для костюмов артистов танца (сабли, ичиги, щиты, гримм и т.д.).
</t>
  </si>
  <si>
    <t>ГБУ «Дагестан-концерт»</t>
  </si>
  <si>
    <t>1. 10 - аттетстация рабочих мест;
2. 99,9-экологический паспорт</t>
  </si>
  <si>
    <t>1. 200 - ремонт светодиодного экрана.</t>
  </si>
  <si>
    <t>ГБУ РД «Государственный ансамбль танца Дагестана «Каспий»</t>
  </si>
  <si>
    <t>1. 400  -сценические костюмы;
2. 99,9-экологический паспорт;
3. 40 - аттестация рабочих мест</t>
  </si>
  <si>
    <t>1. 1470 - костюмы для артистического персонала;
2. 1870 - микроавтобус Ford tranzit 460 (19+6).</t>
  </si>
  <si>
    <t>ГБУ РД «Чародинский государственный народный мужской хор «Поющая Чарода»</t>
  </si>
  <si>
    <t>1. 300 - приобретение сценических костюмов;
2. 99,9-экологический паспорт;
3. 25 - аттестация рабочих мест</t>
  </si>
  <si>
    <t xml:space="preserve">1. 733,7 - концертная аппаратура;
2. 800 - автомобиль Hyundai Solaris;
3. 1500 - микроавтобус ГАЗель NEXT;
4. 156,15 - офисная мебель.
</t>
  </si>
  <si>
    <t>Итого ТЗП</t>
  </si>
  <si>
    <t>Итого раздел 08</t>
  </si>
  <si>
    <t>Численность и расходы учреждений на оплату труда</t>
  </si>
  <si>
    <t xml:space="preserve">№ </t>
  </si>
  <si>
    <t>Полное наименование 
учреждения</t>
  </si>
  <si>
    <t>Всего работников
(ШЧ - штатная численность;
СЧ - среднесписочная численность)</t>
  </si>
  <si>
    <t>Всего расходов
(СД - собственые доходы), 
в том числе:</t>
  </si>
  <si>
    <t xml:space="preserve">Расходы 
на заработную плату
(без начислений) </t>
  </si>
  <si>
    <t>в том числе</t>
  </si>
  <si>
    <t>Балансовая стоимость основных средств</t>
  </si>
  <si>
    <t>Остаточная стоимость основных средств</t>
  </si>
  <si>
    <t>Количество единиц авто-транспорта</t>
  </si>
  <si>
    <t>Общая площадь здания, кв.м.</t>
  </si>
  <si>
    <t>Полезная площадь здания</t>
  </si>
  <si>
    <t>Объем убираемой площади дворовой территории</t>
  </si>
  <si>
    <t xml:space="preserve">Вид отопления (централи-зованное, котельное, печное и т.д.) </t>
  </si>
  <si>
    <t>Объем убираемой плащади дворовой территории</t>
  </si>
  <si>
    <t>руководящие работники</t>
  </si>
  <si>
    <t>врачебные должности (ставки);
работники, имеющие высшее фармацевтическое или иное высшее образование, представляющие 
медицинские услуги</t>
  </si>
  <si>
    <t>работники культуры</t>
  </si>
  <si>
    <t>прочий персонал</t>
  </si>
  <si>
    <t>в том числе
получатели МРОТ</t>
  </si>
  <si>
    <t>руководящих работников</t>
  </si>
  <si>
    <t>врачей, работников, 
имеющих высшее фармацевтическое или иное высшее образование, предоставляющие 
медициские услуги</t>
  </si>
  <si>
    <t>работников культуры</t>
  </si>
  <si>
    <t>прочего персонала</t>
  </si>
  <si>
    <t>в т.ч. получателей МРОТ</t>
  </si>
  <si>
    <t>ШЧ</t>
  </si>
  <si>
    <t>СЧ</t>
  </si>
  <si>
    <t>бюджет (без учета декабря)</t>
  </si>
  <si>
    <t>СД</t>
  </si>
  <si>
    <t>бюджет</t>
  </si>
  <si>
    <t>ГБУК «Республиканский дом народного творчества»</t>
  </si>
  <si>
    <t>центральное</t>
  </si>
  <si>
    <t>котельное</t>
  </si>
  <si>
    <t>централизованное</t>
  </si>
  <si>
    <t>Котельное</t>
  </si>
  <si>
    <t>645,5  (Аренда)</t>
  </si>
  <si>
    <t>Централизованное</t>
  </si>
  <si>
    <t>664,3 кв.м.</t>
  </si>
  <si>
    <t>1576 кв.м.</t>
  </si>
  <si>
    <t>4 (в нерабочем состоянии)</t>
  </si>
  <si>
    <t xml:space="preserve">котельное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</si>
</sst>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37">
    <xf numFmtId="0" fontId="0" fillId="0" borderId="0" xfId="0"/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/>
    </xf>
    <xf numFmtId="0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vertical="top"/>
    </xf>
    <xf numFmtId="2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164" fontId="2" fillId="2" borderId="2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horizontal="center" vertical="top"/>
    </xf>
    <xf numFmtId="164" fontId="6" fillId="2" borderId="0" xfId="0" applyNumberFormat="1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6" fillId="2" borderId="4" xfId="0" applyNumberFormat="1" applyFont="1" applyFill="1" applyBorder="1" applyAlignment="1">
      <alignment horizontal="right" vertical="top" wrapText="1"/>
    </xf>
    <xf numFmtId="164" fontId="6" fillId="2" borderId="3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164" fontId="6" fillId="2" borderId="3" xfId="0" applyNumberFormat="1" applyFont="1" applyFill="1" applyBorder="1" applyAlignment="1">
      <alignment horizontal="right" vertical="top"/>
    </xf>
    <xf numFmtId="164" fontId="7" fillId="2" borderId="2" xfId="0" applyNumberFormat="1" applyFont="1" applyFill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left" vertical="top"/>
    </xf>
    <xf numFmtId="0" fontId="7" fillId="2" borderId="1" xfId="0" applyNumberFormat="1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0" fontId="8" fillId="2" borderId="0" xfId="0" applyFont="1" applyFill="1" applyBorder="1" applyAlignment="1">
      <alignment vertical="top"/>
    </xf>
    <xf numFmtId="2" fontId="9" fillId="2" borderId="1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3" fontId="6" fillId="2" borderId="2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2" fontId="6" fillId="2" borderId="1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right" vertical="top"/>
    </xf>
    <xf numFmtId="4" fontId="6" fillId="2" borderId="0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vertical="top"/>
    </xf>
    <xf numFmtId="3" fontId="6" fillId="2" borderId="2" xfId="0" applyNumberFormat="1" applyFont="1" applyFill="1" applyBorder="1" applyAlignment="1">
      <alignment horizontal="right" vertical="top"/>
    </xf>
    <xf numFmtId="164" fontId="9" fillId="2" borderId="1" xfId="0" applyNumberFormat="1" applyFont="1" applyFill="1" applyBorder="1" applyAlignment="1">
      <alignment horizontal="right" vertical="top" wrapText="1"/>
    </xf>
    <xf numFmtId="3" fontId="9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164" fontId="7" fillId="2" borderId="1" xfId="0" applyNumberFormat="1" applyFont="1" applyFill="1" applyBorder="1" applyAlignment="1">
      <alignment vertical="top"/>
    </xf>
    <xf numFmtId="3" fontId="6" fillId="2" borderId="0" xfId="0" applyNumberFormat="1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3" fillId="2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vertical="top"/>
    </xf>
    <xf numFmtId="164" fontId="2" fillId="3" borderId="0" xfId="0" applyNumberFormat="1" applyFont="1" applyFill="1" applyAlignment="1">
      <alignment vertical="top"/>
    </xf>
    <xf numFmtId="0" fontId="2" fillId="2" borderId="5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</cellXfs>
  <cellStyles count="20">
    <cellStyle name="Normal" xfId="1"/>
    <cellStyle name="Денежный 2" xfId="2"/>
    <cellStyle name="Обычный" xfId="0" builtinId="0"/>
    <cellStyle name="Обычный 10" xfId="3"/>
    <cellStyle name="Обычный 11" xfId="4"/>
    <cellStyle name="Обычный 14" xfId="5"/>
    <cellStyle name="Обычный 15" xfId="6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 6" xfId="12"/>
    <cellStyle name="Обычный 7" xfId="13"/>
    <cellStyle name="Обычный 8" xfId="14"/>
    <cellStyle name="Обычный 9" xfId="15"/>
    <cellStyle name="Финансовый 2" xfId="16"/>
    <cellStyle name="Финансовый 3" xfId="17"/>
    <cellStyle name="Финансовый 4" xfId="18"/>
    <cellStyle name="Финансовый 5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c\Documents%20and%20Settings\ofss7\&#1052;&#1086;&#1080;%20&#1076;&#1086;&#1082;&#1091;&#1084;&#1077;&#1085;&#1090;&#1099;\Downloads\&#1079;&#1072;&#1087;&#1088;&#1086;&#1089;%20&#1052;&#1060;\&#1057;&#1074;&#1086;&#1076;%2008,%20&#1088;&#1072;&#1089;&#1093;&#1086;&#1076;&#1099;%20&#1091;&#1095;&#1088;&#1077;&#1078;&#1076;&#1077;&#1085;&#1080;&#1081;%20&#1076;&#1083;&#1103;%20&#1052;&#106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2019"/>
      <sheetName val="расходы"/>
      <sheetName val="численность"/>
      <sheetName val="МРОТ с мая "/>
      <sheetName val="Свод план 2018 ТЗП"/>
      <sheetName val="Свод 2011-2018 Музеи"/>
      <sheetName val="ДРБ"/>
      <sheetName val="ЗП2018"/>
      <sheetName val="ЗП2019"/>
      <sheetName val="Лист3"/>
    </sheetNames>
    <sheetDataSet>
      <sheetData sheetId="0">
        <row r="7">
          <cell r="D7">
            <v>33666.699999999997</v>
          </cell>
          <cell r="E7">
            <v>10167.343399999998</v>
          </cell>
          <cell r="F7">
            <v>182.16</v>
          </cell>
          <cell r="G7">
            <v>180.47640000000001</v>
          </cell>
          <cell r="I7">
            <v>17.198573099999997</v>
          </cell>
          <cell r="J7">
            <v>20.113885000000003</v>
          </cell>
          <cell r="K7">
            <v>4.6007999999999996</v>
          </cell>
        </row>
        <row r="8">
          <cell r="D8">
            <v>70444.042536000008</v>
          </cell>
          <cell r="E8">
            <v>21274.100845872003</v>
          </cell>
          <cell r="F8">
            <v>75.680000000000007</v>
          </cell>
          <cell r="G8">
            <v>1866.376</v>
          </cell>
          <cell r="I8">
            <v>247.88414689999996</v>
          </cell>
          <cell r="J8">
            <v>567.26962600000002</v>
          </cell>
          <cell r="K8">
            <v>0.78320000000000001</v>
          </cell>
        </row>
        <row r="9">
          <cell r="D9">
            <v>15522.069152073733</v>
          </cell>
          <cell r="E9">
            <v>4687.6648839262671</v>
          </cell>
          <cell r="F9">
            <v>30.44</v>
          </cell>
          <cell r="G9">
            <v>797.60800000000006</v>
          </cell>
          <cell r="I9">
            <v>52.1180187</v>
          </cell>
          <cell r="J9">
            <v>83.163971000000004</v>
          </cell>
          <cell r="K9">
            <v>1.9179999999999999</v>
          </cell>
        </row>
        <row r="10">
          <cell r="D10">
            <v>30813.813600000001</v>
          </cell>
          <cell r="E10">
            <v>9305.7717071999996</v>
          </cell>
          <cell r="F10">
            <v>67.040000000000006</v>
          </cell>
          <cell r="G10">
            <v>3460</v>
          </cell>
          <cell r="I10">
            <v>0</v>
          </cell>
          <cell r="J10">
            <v>11.322674000000001</v>
          </cell>
          <cell r="K10">
            <v>4.6360000000000001</v>
          </cell>
        </row>
        <row r="11">
          <cell r="D11">
            <v>7381.4519999999993</v>
          </cell>
          <cell r="E11">
            <v>2229.1985039999995</v>
          </cell>
          <cell r="F11">
            <v>42.08</v>
          </cell>
          <cell r="G11">
            <v>0</v>
          </cell>
          <cell r="I11">
            <v>7.6799999999999988</v>
          </cell>
          <cell r="J11">
            <v>5.5673750000000011</v>
          </cell>
          <cell r="K11">
            <v>2.1040000000000001</v>
          </cell>
        </row>
        <row r="12">
          <cell r="D12">
            <v>8368.0920000000006</v>
          </cell>
          <cell r="E12">
            <v>2527.1637840000003</v>
          </cell>
          <cell r="F12">
            <v>48.8</v>
          </cell>
          <cell r="G12">
            <v>212</v>
          </cell>
          <cell r="I12">
            <v>0</v>
          </cell>
          <cell r="J12">
            <v>11.040040000000001</v>
          </cell>
          <cell r="K12">
            <v>0</v>
          </cell>
        </row>
        <row r="14">
          <cell r="D14">
            <v>47247.978000000003</v>
          </cell>
          <cell r="E14">
            <v>14268.889356</v>
          </cell>
          <cell r="F14">
            <v>159.72</v>
          </cell>
          <cell r="G14">
            <v>2498.3520000000003</v>
          </cell>
          <cell r="I14">
            <v>291.34233603000001</v>
          </cell>
          <cell r="J14">
            <v>1400.5813580000001</v>
          </cell>
          <cell r="K14">
            <v>1.01</v>
          </cell>
        </row>
        <row r="15">
          <cell r="D15">
            <v>9012.2179999999989</v>
          </cell>
          <cell r="E15">
            <v>2721.6898359999996</v>
          </cell>
          <cell r="F15">
            <v>23.72</v>
          </cell>
          <cell r="G15">
            <v>117.29640000000001</v>
          </cell>
          <cell r="I15">
            <v>0</v>
          </cell>
          <cell r="J15">
            <v>1.1909370000000001</v>
          </cell>
          <cell r="K15">
            <v>1.06</v>
          </cell>
        </row>
        <row r="16">
          <cell r="D16">
            <v>3068.2439999999997</v>
          </cell>
          <cell r="E16">
            <v>926.60968799999989</v>
          </cell>
          <cell r="F16">
            <v>20.72</v>
          </cell>
          <cell r="G16">
            <v>69.460000000000008</v>
          </cell>
          <cell r="I16">
            <v>0</v>
          </cell>
          <cell r="J16">
            <v>14.046483000000002</v>
          </cell>
          <cell r="K16">
            <v>0</v>
          </cell>
        </row>
        <row r="18">
          <cell r="D18">
            <v>43141.446399999993</v>
          </cell>
          <cell r="E18">
            <v>13028.716812799998</v>
          </cell>
          <cell r="F18">
            <v>0</v>
          </cell>
          <cell r="G18">
            <v>2993.6480000000001</v>
          </cell>
          <cell r="I18">
            <v>637.42911060000006</v>
          </cell>
          <cell r="J18">
            <v>828.76466200000016</v>
          </cell>
          <cell r="K18">
            <v>34.316000000000003</v>
          </cell>
        </row>
        <row r="19">
          <cell r="D19">
            <v>32875.105600000003</v>
          </cell>
          <cell r="E19">
            <v>9928.2818912000002</v>
          </cell>
          <cell r="F19">
            <v>0</v>
          </cell>
          <cell r="G19">
            <v>1272.5640000000001</v>
          </cell>
          <cell r="I19">
            <v>345.46374599999996</v>
          </cell>
          <cell r="J19">
            <v>145.198295</v>
          </cell>
          <cell r="K19">
            <v>14.5312</v>
          </cell>
        </row>
        <row r="20">
          <cell r="D20">
            <v>32782.17773333333</v>
          </cell>
          <cell r="E20">
            <v>9900.2176754666652</v>
          </cell>
          <cell r="F20">
            <v>0</v>
          </cell>
          <cell r="G20">
            <v>1496.4680000000001</v>
          </cell>
          <cell r="I20">
            <v>189.37083959999998</v>
          </cell>
          <cell r="J20">
            <v>2379.3738210000006</v>
          </cell>
          <cell r="K20">
            <v>16.608000000000001</v>
          </cell>
        </row>
        <row r="21">
          <cell r="D21">
            <v>28978.6</v>
          </cell>
          <cell r="E21">
            <v>8751.5371999999988</v>
          </cell>
          <cell r="F21">
            <v>0</v>
          </cell>
          <cell r="G21">
            <v>740.46</v>
          </cell>
          <cell r="I21">
            <v>266.54656499999999</v>
          </cell>
          <cell r="J21">
            <v>4936.008253</v>
          </cell>
          <cell r="K21">
            <v>12.172000000000001</v>
          </cell>
        </row>
        <row r="22">
          <cell r="D22">
            <v>20376.486353302607</v>
          </cell>
          <cell r="E22">
            <v>6153.698878697387</v>
          </cell>
          <cell r="F22">
            <v>0</v>
          </cell>
          <cell r="G22">
            <v>726.10799999999995</v>
          </cell>
          <cell r="I22">
            <v>220.11633449999999</v>
          </cell>
          <cell r="J22">
            <v>162.74500000000003</v>
          </cell>
          <cell r="K22">
            <v>1.982</v>
          </cell>
        </row>
        <row r="23">
          <cell r="D23">
            <v>20599.010168970814</v>
          </cell>
          <cell r="E23">
            <v>6220.9010710291859</v>
          </cell>
          <cell r="F23">
            <v>0</v>
          </cell>
          <cell r="G23">
            <v>0</v>
          </cell>
          <cell r="I23">
            <v>0</v>
          </cell>
          <cell r="J23">
            <v>15.694734000000002</v>
          </cell>
          <cell r="K23">
            <v>10.448</v>
          </cell>
        </row>
        <row r="24">
          <cell r="D24">
            <v>22142.608549923196</v>
          </cell>
          <cell r="E24">
            <v>6687.0677820768051</v>
          </cell>
          <cell r="F24">
            <v>0</v>
          </cell>
          <cell r="G24">
            <v>676.89599999999996</v>
          </cell>
          <cell r="I24">
            <v>163.70355479999998</v>
          </cell>
          <cell r="J24">
            <v>881.63902200000007</v>
          </cell>
          <cell r="K24">
            <v>9.9592000000000009</v>
          </cell>
        </row>
        <row r="25">
          <cell r="D25">
            <v>68881.87</v>
          </cell>
          <cell r="E25">
            <v>20802.324739999996</v>
          </cell>
          <cell r="F25">
            <v>0</v>
          </cell>
          <cell r="G25">
            <v>0</v>
          </cell>
          <cell r="I25">
            <v>0</v>
          </cell>
          <cell r="J25">
            <v>70.854443000000018</v>
          </cell>
          <cell r="K25">
            <v>4.32</v>
          </cell>
        </row>
        <row r="26">
          <cell r="D26">
            <v>15191.652</v>
          </cell>
          <cell r="E26">
            <v>4587.8789040000001</v>
          </cell>
          <cell r="F26">
            <v>0</v>
          </cell>
          <cell r="G26">
            <v>204.12</v>
          </cell>
          <cell r="I26">
            <v>59.203244999999995</v>
          </cell>
          <cell r="J26">
            <v>36.250654000000004</v>
          </cell>
          <cell r="K26">
            <v>7.42</v>
          </cell>
        </row>
        <row r="27">
          <cell r="D27">
            <v>11087.434799999999</v>
          </cell>
          <cell r="E27">
            <v>3348.4053095999998</v>
          </cell>
          <cell r="F27">
            <v>0</v>
          </cell>
          <cell r="G27">
            <v>0</v>
          </cell>
          <cell r="I27">
            <v>0</v>
          </cell>
          <cell r="J27">
            <v>3.5027300000000006</v>
          </cell>
          <cell r="K27">
            <v>10.34</v>
          </cell>
        </row>
        <row r="28">
          <cell r="D28">
            <v>11062.714055299539</v>
          </cell>
          <cell r="E28">
            <v>3340.9396447004606</v>
          </cell>
          <cell r="F28">
            <v>0</v>
          </cell>
          <cell r="G28">
            <v>331.76</v>
          </cell>
          <cell r="I28">
            <v>51.054483750000003</v>
          </cell>
          <cell r="J28">
            <v>30.428365000000003</v>
          </cell>
          <cell r="K28">
            <v>6.64</v>
          </cell>
        </row>
        <row r="29">
          <cell r="D29">
            <v>5770.9160000000002</v>
          </cell>
          <cell r="E29">
            <v>1742.816632</v>
          </cell>
          <cell r="F29">
            <v>0</v>
          </cell>
          <cell r="G29">
            <v>320.52800000000002</v>
          </cell>
          <cell r="I29">
            <v>81.061545759999987</v>
          </cell>
          <cell r="J29">
            <v>58.784352000000005</v>
          </cell>
          <cell r="K29">
            <v>0</v>
          </cell>
        </row>
        <row r="30">
          <cell r="D30">
            <v>37567.15907219662</v>
          </cell>
          <cell r="E30">
            <v>11345.282039803378</v>
          </cell>
          <cell r="F30">
            <v>0</v>
          </cell>
          <cell r="G30">
            <v>595.08000000000004</v>
          </cell>
          <cell r="I30">
            <v>136.7678286</v>
          </cell>
          <cell r="J30">
            <v>729.72353300000009</v>
          </cell>
          <cell r="K30">
            <v>12.8</v>
          </cell>
        </row>
        <row r="31">
          <cell r="D31">
            <v>26606.853199999998</v>
          </cell>
          <cell r="E31">
            <v>8035.2696663999986</v>
          </cell>
          <cell r="F31">
            <v>0</v>
          </cell>
          <cell r="G31">
            <v>738.4</v>
          </cell>
          <cell r="I31">
            <v>138.03627</v>
          </cell>
          <cell r="J31">
            <v>753.37483099999997</v>
          </cell>
          <cell r="K31">
            <v>0</v>
          </cell>
        </row>
        <row r="32">
          <cell r="D32">
            <v>20568.856</v>
          </cell>
          <cell r="E32">
            <v>6211.7945119999995</v>
          </cell>
          <cell r="F32">
            <v>0</v>
          </cell>
          <cell r="G32">
            <v>363.24</v>
          </cell>
          <cell r="I32">
            <v>0</v>
          </cell>
          <cell r="J32">
            <v>26.319744000000004</v>
          </cell>
          <cell r="K32">
            <v>18.111999999999998</v>
          </cell>
        </row>
        <row r="33">
          <cell r="D33">
            <v>8321.3504000000012</v>
          </cell>
          <cell r="E33">
            <v>2513.0478208000004</v>
          </cell>
          <cell r="F33">
            <v>0</v>
          </cell>
          <cell r="G33">
            <v>88.6</v>
          </cell>
          <cell r="I33">
            <v>1.5964326000000002</v>
          </cell>
          <cell r="J33">
            <v>4.1652710000000006</v>
          </cell>
          <cell r="K33">
            <v>5.7336</v>
          </cell>
        </row>
        <row r="34">
          <cell r="D34">
            <v>6658.6959999999999</v>
          </cell>
          <cell r="E34">
            <v>2010.9261919999999</v>
          </cell>
          <cell r="F34">
            <v>0</v>
          </cell>
          <cell r="G34">
            <v>0</v>
          </cell>
          <cell r="I34">
            <v>0</v>
          </cell>
          <cell r="J34">
            <v>16.513287999999999</v>
          </cell>
          <cell r="K34">
            <v>4.7</v>
          </cell>
        </row>
        <row r="35">
          <cell r="D35">
            <v>9687.94</v>
          </cell>
          <cell r="E35">
            <v>2925.7578800000001</v>
          </cell>
          <cell r="F35">
            <v>0</v>
          </cell>
          <cell r="G35">
            <v>0</v>
          </cell>
          <cell r="I35">
            <v>0</v>
          </cell>
          <cell r="J35">
            <v>5.3891420000000005</v>
          </cell>
          <cell r="K35">
            <v>0</v>
          </cell>
        </row>
        <row r="36">
          <cell r="D36">
            <v>10305.019600000001</v>
          </cell>
          <cell r="E36">
            <v>3112.1159192000005</v>
          </cell>
          <cell r="F36">
            <v>0</v>
          </cell>
          <cell r="G36">
            <v>348.96799999999996</v>
          </cell>
          <cell r="I36">
            <v>12.208013999999999</v>
          </cell>
          <cell r="J36">
            <v>17.484588000000002</v>
          </cell>
          <cell r="K36">
            <v>4.5359999999999996</v>
          </cell>
        </row>
        <row r="37">
          <cell r="D37">
            <v>47057.892000000007</v>
          </cell>
          <cell r="E37">
            <v>14211.483384000001</v>
          </cell>
          <cell r="F37">
            <v>0</v>
          </cell>
          <cell r="G37">
            <v>449.26399999999995</v>
          </cell>
          <cell r="I37">
            <v>13.729012799999998</v>
          </cell>
          <cell r="J37">
            <v>40.652557000000002</v>
          </cell>
          <cell r="K37">
            <v>0</v>
          </cell>
        </row>
        <row r="38">
          <cell r="D38">
            <v>2023.9759999999999</v>
          </cell>
          <cell r="E38">
            <v>611.24075199999993</v>
          </cell>
          <cell r="F38">
            <v>0</v>
          </cell>
          <cell r="G38">
            <v>0</v>
          </cell>
          <cell r="I38">
            <v>0</v>
          </cell>
          <cell r="J38">
            <v>50.257625000000004</v>
          </cell>
          <cell r="K38">
            <v>9.68</v>
          </cell>
        </row>
        <row r="39">
          <cell r="D39">
            <v>7165.5280000000002</v>
          </cell>
          <cell r="E39">
            <v>2163.9894559999998</v>
          </cell>
          <cell r="F39">
            <v>0</v>
          </cell>
          <cell r="G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D40">
            <v>5914.0838399999993</v>
          </cell>
          <cell r="E40">
            <v>1786.0533196799997</v>
          </cell>
          <cell r="F40">
            <v>0</v>
          </cell>
          <cell r="G40">
            <v>0</v>
          </cell>
          <cell r="I40">
            <v>0</v>
          </cell>
          <cell r="J40">
            <v>0</v>
          </cell>
          <cell r="K40">
            <v>0</v>
          </cell>
        </row>
      </sheetData>
      <sheetData sheetId="1">
        <row r="9">
          <cell r="C9">
            <v>55273.979999999996</v>
          </cell>
          <cell r="D9">
            <v>59082.793058099996</v>
          </cell>
          <cell r="E9">
            <v>33666.699999999997</v>
          </cell>
          <cell r="F9">
            <v>33666.699999999997</v>
          </cell>
        </row>
        <row r="10">
          <cell r="C10">
            <v>114939.65</v>
          </cell>
          <cell r="D10">
            <v>145797.15635477199</v>
          </cell>
          <cell r="E10">
            <v>70219.3</v>
          </cell>
          <cell r="F10">
            <v>70444.042536000008</v>
          </cell>
        </row>
        <row r="11">
          <cell r="C11">
            <v>23291.011624000002</v>
          </cell>
          <cell r="D11">
            <v>109175.7820257</v>
          </cell>
          <cell r="E11">
            <v>14988.300000000001</v>
          </cell>
          <cell r="F11">
            <v>15522.069152073733</v>
          </cell>
        </row>
        <row r="12">
          <cell r="C12">
            <v>45628.320000000007</v>
          </cell>
          <cell r="D12">
            <v>69480.023981200007</v>
          </cell>
          <cell r="E12">
            <v>30628.45</v>
          </cell>
          <cell r="F12">
            <v>30813.813600000001</v>
          </cell>
        </row>
        <row r="13">
          <cell r="C13">
            <v>10491.470000000001</v>
          </cell>
          <cell r="D13">
            <v>30164.281879000002</v>
          </cell>
          <cell r="E13">
            <v>7354.65</v>
          </cell>
          <cell r="F13">
            <v>7381.4519999999993</v>
          </cell>
        </row>
        <row r="14">
          <cell r="C14">
            <v>12812.359999999999</v>
          </cell>
          <cell r="D14">
            <v>17757.123823999998</v>
          </cell>
          <cell r="E14">
            <v>8332.75</v>
          </cell>
          <cell r="F14">
            <v>8368.0920000000006</v>
          </cell>
        </row>
        <row r="16">
          <cell r="C16">
            <v>76973.070000000007</v>
          </cell>
          <cell r="D16">
            <v>76565.649050029984</v>
          </cell>
          <cell r="E16">
            <v>47050.25</v>
          </cell>
          <cell r="F16">
            <v>47247.978000000003</v>
          </cell>
        </row>
        <row r="17">
          <cell r="C17">
            <v>13196.825000000003</v>
          </cell>
          <cell r="D17">
            <v>14231.075172999996</v>
          </cell>
          <cell r="E17">
            <v>8990.1050000000014</v>
          </cell>
          <cell r="F17">
            <v>9012.2179999999989</v>
          </cell>
        </row>
        <row r="18">
          <cell r="C18">
            <v>4379.1699999999992</v>
          </cell>
          <cell r="D18">
            <v>7352.680171</v>
          </cell>
          <cell r="E18">
            <v>3064.8999999999996</v>
          </cell>
          <cell r="F18">
            <v>3068.2439999999997</v>
          </cell>
        </row>
        <row r="20">
          <cell r="C20">
            <v>86108.066000000006</v>
          </cell>
          <cell r="D20">
            <v>120627.8209854</v>
          </cell>
          <cell r="E20">
            <v>42483.899999999994</v>
          </cell>
          <cell r="F20">
            <v>43141.446399999993</v>
          </cell>
        </row>
        <row r="21">
          <cell r="C21">
            <v>44612.085500000008</v>
          </cell>
          <cell r="D21">
            <v>68334.044732200011</v>
          </cell>
          <cell r="E21">
            <v>32424.27</v>
          </cell>
          <cell r="F21">
            <v>32875.105600000003</v>
          </cell>
        </row>
        <row r="22">
          <cell r="C22">
            <v>48445.734000000011</v>
          </cell>
          <cell r="D22">
            <v>81437.516069399993</v>
          </cell>
          <cell r="E22">
            <v>32317.95</v>
          </cell>
          <cell r="F22">
            <v>32782.17773333333</v>
          </cell>
        </row>
        <row r="23">
          <cell r="C23">
            <v>41579.351999999992</v>
          </cell>
          <cell r="D23">
            <v>50722.624017999988</v>
          </cell>
          <cell r="E23">
            <v>28978.6</v>
          </cell>
          <cell r="F23">
            <v>28978.6</v>
          </cell>
        </row>
        <row r="24">
          <cell r="C24">
            <v>27317.794299999998</v>
          </cell>
          <cell r="D24">
            <v>36592.13656649999</v>
          </cell>
          <cell r="E24">
            <v>20148.12</v>
          </cell>
          <cell r="F24">
            <v>20376.486353302607</v>
          </cell>
        </row>
        <row r="25">
          <cell r="C25">
            <v>27212.209999999995</v>
          </cell>
          <cell r="D25">
            <v>34013.853974000005</v>
          </cell>
          <cell r="E25">
            <v>20319.71</v>
          </cell>
          <cell r="F25">
            <v>20599.010168970814</v>
          </cell>
        </row>
        <row r="26">
          <cell r="C26">
            <v>30536.687000000005</v>
          </cell>
          <cell r="D26">
            <v>46350.474108800001</v>
          </cell>
          <cell r="E26">
            <v>20339.21</v>
          </cell>
          <cell r="F26">
            <v>22142.608549923196</v>
          </cell>
        </row>
        <row r="27">
          <cell r="C27">
            <v>92798.209999999977</v>
          </cell>
          <cell r="D27">
            <v>101767.369183</v>
          </cell>
          <cell r="E27">
            <v>68667.179999999993</v>
          </cell>
          <cell r="F27">
            <v>68881.87</v>
          </cell>
        </row>
        <row r="28">
          <cell r="C28">
            <v>20010.090000000004</v>
          </cell>
          <cell r="D28">
            <v>26127.524802999997</v>
          </cell>
          <cell r="E28">
            <v>14997.470000000001</v>
          </cell>
          <cell r="F28">
            <v>15191.652</v>
          </cell>
        </row>
        <row r="29">
          <cell r="C29">
            <v>14456.419999999998</v>
          </cell>
          <cell r="D29">
            <v>18439.682839599998</v>
          </cell>
          <cell r="E29">
            <v>10819.72</v>
          </cell>
          <cell r="F29">
            <v>11087.434799999999</v>
          </cell>
        </row>
        <row r="30">
          <cell r="C30">
            <v>14924.305000000002</v>
          </cell>
          <cell r="D30">
            <v>20261.536548749998</v>
          </cell>
          <cell r="E30">
            <v>10861.84</v>
          </cell>
          <cell r="F30">
            <v>11062.714055299539</v>
          </cell>
        </row>
        <row r="31">
          <cell r="C31">
            <v>18101.132000000001</v>
          </cell>
          <cell r="D31">
            <v>16924.206529759998</v>
          </cell>
          <cell r="E31">
            <v>5724.04</v>
          </cell>
          <cell r="F31">
            <v>5770.9160000000002</v>
          </cell>
        </row>
        <row r="32">
          <cell r="C32">
            <v>55017.98</v>
          </cell>
          <cell r="D32">
            <v>65100.5124736</v>
          </cell>
          <cell r="E32">
            <v>37307.49</v>
          </cell>
          <cell r="F32">
            <v>37567.15907219662</v>
          </cell>
        </row>
        <row r="33">
          <cell r="C33">
            <v>36735.58</v>
          </cell>
          <cell r="D33">
            <v>42934.533967399992</v>
          </cell>
          <cell r="E33">
            <v>26524.66</v>
          </cell>
          <cell r="F33">
            <v>26606.853199999998</v>
          </cell>
        </row>
        <row r="34">
          <cell r="C34">
            <v>27530.06</v>
          </cell>
          <cell r="D34">
            <v>29757.822256000003</v>
          </cell>
          <cell r="E34">
            <v>20523.7</v>
          </cell>
          <cell r="F34">
            <v>20568.856</v>
          </cell>
        </row>
        <row r="35">
          <cell r="C35">
            <v>11417.15</v>
          </cell>
          <cell r="D35">
            <v>13753.993524400001</v>
          </cell>
          <cell r="E35">
            <v>8277.5300000000007</v>
          </cell>
          <cell r="F35">
            <v>8321.3504000000012</v>
          </cell>
        </row>
        <row r="36">
          <cell r="C36">
            <v>10837.150000000001</v>
          </cell>
          <cell r="D36">
            <v>9534.0354799999986</v>
          </cell>
          <cell r="E36">
            <v>6600.65</v>
          </cell>
          <cell r="F36">
            <v>6658.6959999999999</v>
          </cell>
        </row>
        <row r="37">
          <cell r="C37">
            <v>12876.809999999998</v>
          </cell>
          <cell r="D37">
            <v>15398.587022</v>
          </cell>
          <cell r="E37">
            <v>9654.4599999999991</v>
          </cell>
          <cell r="F37">
            <v>9687.94</v>
          </cell>
        </row>
        <row r="38">
          <cell r="C38">
            <v>15258.030000000002</v>
          </cell>
          <cell r="D38">
            <v>16900.372121200002</v>
          </cell>
          <cell r="E38">
            <v>10182.25</v>
          </cell>
          <cell r="F38">
            <v>10305.019600000001</v>
          </cell>
        </row>
        <row r="39">
          <cell r="C39">
            <v>62935.670000000006</v>
          </cell>
          <cell r="D39">
            <v>79361.970953800017</v>
          </cell>
          <cell r="E39">
            <v>46999.33</v>
          </cell>
          <cell r="F39">
            <v>47057.892000000007</v>
          </cell>
        </row>
        <row r="40">
          <cell r="C40">
            <v>7612.7099999999991</v>
          </cell>
          <cell r="D40">
            <v>25029.754376999997</v>
          </cell>
          <cell r="E40">
            <v>2010.58</v>
          </cell>
          <cell r="F40">
            <v>2023.9759999999999</v>
          </cell>
        </row>
        <row r="41">
          <cell r="C41">
            <v>9817.17</v>
          </cell>
          <cell r="D41">
            <v>12956.417455999999</v>
          </cell>
          <cell r="E41">
            <v>7125.35</v>
          </cell>
          <cell r="F41">
            <v>7165.5280000000002</v>
          </cell>
        </row>
        <row r="42">
          <cell r="C42">
            <v>8052.92</v>
          </cell>
          <cell r="D42">
            <v>11149.937159679999</v>
          </cell>
          <cell r="E42">
            <v>5858.72</v>
          </cell>
          <cell r="F42">
            <v>5914.0838399999993</v>
          </cell>
        </row>
      </sheetData>
      <sheetData sheetId="2"/>
      <sheetData sheetId="3">
        <row r="17">
          <cell r="C17">
            <v>0</v>
          </cell>
          <cell r="J17">
            <v>2</v>
          </cell>
          <cell r="U17">
            <v>266.464</v>
          </cell>
          <cell r="V17">
            <v>267.91200000000003</v>
          </cell>
        </row>
        <row r="18">
          <cell r="C18">
            <v>124</v>
          </cell>
          <cell r="J18">
            <v>18</v>
          </cell>
          <cell r="U18">
            <v>18504.835119999996</v>
          </cell>
          <cell r="V18">
            <v>19628.572680000005</v>
          </cell>
        </row>
        <row r="34">
          <cell r="C34">
            <v>27.5</v>
          </cell>
          <cell r="J34">
            <v>6</v>
          </cell>
          <cell r="U34">
            <v>4281.5220000000008</v>
          </cell>
          <cell r="V34">
            <v>4487.5259999999998</v>
          </cell>
        </row>
        <row r="35">
          <cell r="C35">
            <v>38</v>
          </cell>
          <cell r="J35">
            <v>2</v>
          </cell>
          <cell r="U35">
            <v>5093.424</v>
          </cell>
          <cell r="V35">
            <v>5358.24</v>
          </cell>
        </row>
        <row r="36">
          <cell r="C36">
            <v>8</v>
          </cell>
          <cell r="J36">
            <v>0</v>
          </cell>
          <cell r="U36">
            <v>1018.0799999999999</v>
          </cell>
          <cell r="V36">
            <v>1071.6480000000001</v>
          </cell>
        </row>
        <row r="37">
          <cell r="C37">
            <v>10</v>
          </cell>
          <cell r="J37">
            <v>2</v>
          </cell>
          <cell r="U37">
            <v>1536.7440000000001</v>
          </cell>
          <cell r="V37">
            <v>1607.4720000000002</v>
          </cell>
        </row>
        <row r="39">
          <cell r="C39">
            <v>57</v>
          </cell>
          <cell r="J39">
            <v>4</v>
          </cell>
          <cell r="U39">
            <v>7775.8640000000014</v>
          </cell>
          <cell r="V39">
            <v>8171.3159999999998</v>
          </cell>
        </row>
        <row r="40">
          <cell r="C40">
            <v>6</v>
          </cell>
          <cell r="J40">
            <v>1</v>
          </cell>
          <cell r="U40">
            <v>893.48000000000013</v>
          </cell>
          <cell r="V40">
            <v>937.69200000000001</v>
          </cell>
        </row>
        <row r="41">
          <cell r="C41">
            <v>0.5</v>
          </cell>
          <cell r="J41">
            <v>0</v>
          </cell>
          <cell r="U41">
            <v>63.629999999999995</v>
          </cell>
          <cell r="V41">
            <v>66.978000000000009</v>
          </cell>
        </row>
        <row r="43">
          <cell r="C43">
            <v>119</v>
          </cell>
          <cell r="J43">
            <v>6</v>
          </cell>
          <cell r="U43">
            <v>15922.564</v>
          </cell>
          <cell r="V43">
            <v>16744.5</v>
          </cell>
        </row>
        <row r="44">
          <cell r="C44">
            <v>73</v>
          </cell>
          <cell r="J44">
            <v>3</v>
          </cell>
          <cell r="U44">
            <v>9679.7279999999992</v>
          </cell>
          <cell r="V44">
            <v>10180.656000000001</v>
          </cell>
        </row>
        <row r="45">
          <cell r="C45">
            <v>98</v>
          </cell>
          <cell r="J45">
            <v>3</v>
          </cell>
          <cell r="U45">
            <v>12866.376126984127</v>
          </cell>
          <cell r="V45">
            <v>13529.556</v>
          </cell>
        </row>
        <row r="46">
          <cell r="C46">
            <v>44</v>
          </cell>
          <cell r="J46">
            <v>0</v>
          </cell>
          <cell r="U46">
            <v>5599.4400000000005</v>
          </cell>
          <cell r="V46">
            <v>5894.0640000000003</v>
          </cell>
        </row>
        <row r="47">
          <cell r="C47">
            <v>33</v>
          </cell>
          <cell r="J47">
            <v>2</v>
          </cell>
          <cell r="U47">
            <v>4460.0978822324632</v>
          </cell>
          <cell r="V47">
            <v>4688.46</v>
          </cell>
        </row>
        <row r="48">
          <cell r="C48">
            <v>41</v>
          </cell>
          <cell r="J48">
            <v>2</v>
          </cell>
          <cell r="U48">
            <v>5480.8046103430624</v>
          </cell>
          <cell r="V48">
            <v>5760.1080000000002</v>
          </cell>
        </row>
        <row r="49">
          <cell r="C49">
            <v>53</v>
          </cell>
          <cell r="J49">
            <v>3</v>
          </cell>
          <cell r="U49">
            <v>7142.7969667178704</v>
          </cell>
          <cell r="V49">
            <v>7501.5360000000001</v>
          </cell>
        </row>
        <row r="50">
          <cell r="C50">
            <v>63</v>
          </cell>
          <cell r="J50">
            <v>4</v>
          </cell>
          <cell r="U50">
            <v>8545.6719999999987</v>
          </cell>
          <cell r="V50">
            <v>8975.0519999999997</v>
          </cell>
        </row>
        <row r="51">
          <cell r="C51">
            <v>29</v>
          </cell>
          <cell r="J51">
            <v>0</v>
          </cell>
          <cell r="U51">
            <v>3690.54</v>
          </cell>
          <cell r="V51">
            <v>3884.7240000000002</v>
          </cell>
        </row>
        <row r="52">
          <cell r="C52">
            <v>17</v>
          </cell>
          <cell r="J52">
            <v>3</v>
          </cell>
          <cell r="U52">
            <v>2741.1000000000004</v>
          </cell>
          <cell r="V52">
            <v>2947.0320000000002</v>
          </cell>
        </row>
        <row r="53">
          <cell r="C53">
            <v>23</v>
          </cell>
          <cell r="J53">
            <v>1</v>
          </cell>
          <cell r="U53">
            <v>3057.444</v>
          </cell>
          <cell r="V53">
            <v>3214.9440000000004</v>
          </cell>
        </row>
        <row r="54">
          <cell r="C54">
            <v>7</v>
          </cell>
          <cell r="J54">
            <v>0</v>
          </cell>
          <cell r="U54">
            <v>890.82000000000016</v>
          </cell>
          <cell r="V54">
            <v>937.69200000000001</v>
          </cell>
        </row>
        <row r="55">
          <cell r="C55">
            <v>38</v>
          </cell>
          <cell r="J55">
            <v>2</v>
          </cell>
          <cell r="U55">
            <v>5098.486975934461</v>
          </cell>
          <cell r="V55">
            <v>5358.24</v>
          </cell>
        </row>
        <row r="56">
          <cell r="C56">
            <v>40</v>
          </cell>
          <cell r="J56">
            <v>3</v>
          </cell>
          <cell r="U56">
            <v>5486.16</v>
          </cell>
          <cell r="V56">
            <v>5760.1080000000002</v>
          </cell>
        </row>
        <row r="57">
          <cell r="C57">
            <v>12</v>
          </cell>
          <cell r="J57">
            <v>2</v>
          </cell>
          <cell r="U57">
            <v>1785.0800000000004</v>
          </cell>
          <cell r="V57">
            <v>1875.384</v>
          </cell>
        </row>
        <row r="58">
          <cell r="C58">
            <v>3</v>
          </cell>
          <cell r="J58">
            <v>1</v>
          </cell>
          <cell r="U58">
            <v>545.58960000000002</v>
          </cell>
          <cell r="V58">
            <v>589.40640000000008</v>
          </cell>
        </row>
        <row r="59">
          <cell r="C59">
            <v>5</v>
          </cell>
          <cell r="J59">
            <v>1</v>
          </cell>
          <cell r="U59">
            <v>765.048</v>
          </cell>
          <cell r="V59">
            <v>803.7360000000001</v>
          </cell>
        </row>
        <row r="60">
          <cell r="C60">
            <v>5</v>
          </cell>
          <cell r="J60">
            <v>0</v>
          </cell>
          <cell r="U60">
            <v>636.30000000000007</v>
          </cell>
          <cell r="V60">
            <v>669.78</v>
          </cell>
        </row>
        <row r="61">
          <cell r="C61">
            <v>11</v>
          </cell>
          <cell r="J61">
            <v>0</v>
          </cell>
          <cell r="U61">
            <v>1498.0944000000002</v>
          </cell>
          <cell r="V61">
            <v>1620.8676000000003</v>
          </cell>
        </row>
        <row r="62">
          <cell r="C62">
            <v>12</v>
          </cell>
          <cell r="J62">
            <v>8</v>
          </cell>
          <cell r="U62">
            <v>2561.9920000000002</v>
          </cell>
          <cell r="V62">
            <v>2679.12</v>
          </cell>
        </row>
        <row r="63">
          <cell r="C63">
            <v>2</v>
          </cell>
          <cell r="J63">
            <v>0</v>
          </cell>
          <cell r="U63">
            <v>254.51999999999998</v>
          </cell>
          <cell r="V63">
            <v>267.91200000000003</v>
          </cell>
        </row>
        <row r="64">
          <cell r="C64">
            <v>6</v>
          </cell>
          <cell r="J64">
            <v>0</v>
          </cell>
          <cell r="U64">
            <v>763.56000000000006</v>
          </cell>
          <cell r="V64">
            <v>803.7360000000001</v>
          </cell>
        </row>
        <row r="65">
          <cell r="C65">
            <v>4</v>
          </cell>
          <cell r="J65">
            <v>0</v>
          </cell>
          <cell r="U65">
            <v>566.19455999999991</v>
          </cell>
          <cell r="V65">
            <v>621.55583999999999</v>
          </cell>
        </row>
      </sheetData>
      <sheetData sheetId="4">
        <row r="26">
          <cell r="D26">
            <v>225</v>
          </cell>
          <cell r="E26">
            <v>54</v>
          </cell>
          <cell r="F26">
            <v>0</v>
          </cell>
          <cell r="G26">
            <v>10</v>
          </cell>
          <cell r="I26">
            <v>194</v>
          </cell>
          <cell r="J26">
            <v>0</v>
          </cell>
          <cell r="K26">
            <v>100</v>
          </cell>
          <cell r="L26">
            <v>0</v>
          </cell>
          <cell r="M26">
            <v>4</v>
          </cell>
          <cell r="N26">
            <v>0</v>
          </cell>
          <cell r="O26">
            <v>0</v>
          </cell>
          <cell r="P26">
            <v>180</v>
          </cell>
          <cell r="Q26">
            <v>0</v>
          </cell>
          <cell r="R26">
            <v>150</v>
          </cell>
          <cell r="S26">
            <v>1.6</v>
          </cell>
          <cell r="T26">
            <v>20</v>
          </cell>
          <cell r="U26">
            <v>0</v>
          </cell>
          <cell r="V26">
            <v>0</v>
          </cell>
          <cell r="X26">
            <v>0</v>
          </cell>
          <cell r="Y26">
            <v>42.9</v>
          </cell>
          <cell r="Z26">
            <v>15</v>
          </cell>
        </row>
        <row r="33">
          <cell r="D33">
            <v>162</v>
          </cell>
          <cell r="E33">
            <v>26.9</v>
          </cell>
          <cell r="F33">
            <v>18</v>
          </cell>
          <cell r="G33">
            <v>10.416</v>
          </cell>
          <cell r="H33">
            <v>0</v>
          </cell>
          <cell r="I33">
            <v>0</v>
          </cell>
          <cell r="J33">
            <v>27</v>
          </cell>
          <cell r="K33">
            <v>48.2</v>
          </cell>
          <cell r="L33">
            <v>0</v>
          </cell>
          <cell r="N33">
            <v>8</v>
          </cell>
          <cell r="O33">
            <v>0</v>
          </cell>
          <cell r="P33">
            <v>26.6</v>
          </cell>
          <cell r="Q33">
            <v>0</v>
          </cell>
          <cell r="R33">
            <v>0</v>
          </cell>
          <cell r="S33">
            <v>0</v>
          </cell>
          <cell r="T33">
            <v>5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76">
          <cell r="D76">
            <v>360</v>
          </cell>
          <cell r="E76">
            <v>385.8</v>
          </cell>
          <cell r="F76">
            <v>247</v>
          </cell>
          <cell r="G76">
            <v>290.73500000000001</v>
          </cell>
          <cell r="I76">
            <v>247.995</v>
          </cell>
          <cell r="J76">
            <v>554</v>
          </cell>
          <cell r="K76">
            <v>50</v>
          </cell>
          <cell r="L76">
            <v>50</v>
          </cell>
          <cell r="N76">
            <v>70</v>
          </cell>
          <cell r="O76">
            <v>0</v>
          </cell>
          <cell r="P76">
            <v>200</v>
          </cell>
          <cell r="Q76">
            <v>0</v>
          </cell>
          <cell r="R76">
            <v>180</v>
          </cell>
          <cell r="S76">
            <v>40</v>
          </cell>
          <cell r="T76">
            <v>258.77999999999997</v>
          </cell>
          <cell r="U76">
            <v>0</v>
          </cell>
          <cell r="V76">
            <v>98.6</v>
          </cell>
          <cell r="X76">
            <v>0</v>
          </cell>
          <cell r="Y76">
            <v>0</v>
          </cell>
          <cell r="Z76">
            <v>15</v>
          </cell>
        </row>
      </sheetData>
      <sheetData sheetId="5"/>
      <sheetData sheetId="6"/>
      <sheetData sheetId="7">
        <row r="4">
          <cell r="J4">
            <v>33666.699999999997</v>
          </cell>
          <cell r="K4">
            <v>10167.280000000001</v>
          </cell>
        </row>
        <row r="6">
          <cell r="J6">
            <v>14988.300000000001</v>
          </cell>
          <cell r="K6">
            <v>4526.5116239999988</v>
          </cell>
        </row>
        <row r="7">
          <cell r="J7">
            <v>30628.45</v>
          </cell>
          <cell r="K7">
            <v>9249.77</v>
          </cell>
        </row>
        <row r="8">
          <cell r="J8">
            <v>7354.65</v>
          </cell>
        </row>
        <row r="9">
          <cell r="J9">
            <v>8332.75</v>
          </cell>
          <cell r="K9">
            <v>2516.5100000000002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47"/>
  <sheetViews>
    <sheetView tabSelected="1" view="pageBreakPreview" topLeftCell="A3" zoomScale="85" zoomScaleNormal="85" zoomScaleSheetLayoutView="85" workbookViewId="0">
      <pane xSplit="2" ySplit="5" topLeftCell="W32" activePane="bottomRight" state="frozen"/>
      <selection activeCell="A3" sqref="A3"/>
      <selection pane="topRight" activeCell="C3" sqref="C3"/>
      <selection pane="bottomLeft" activeCell="A9" sqref="A9"/>
      <selection pane="bottomRight" activeCell="C44" sqref="C44"/>
    </sheetView>
  </sheetViews>
  <sheetFormatPr defaultRowHeight="15.75"/>
  <cols>
    <col min="1" max="1" width="4.140625" style="1" customWidth="1"/>
    <col min="2" max="2" width="23.140625" style="2" customWidth="1"/>
    <col min="3" max="3" width="14.140625" style="2" customWidth="1"/>
    <col min="4" max="4" width="14.28515625" style="2" customWidth="1"/>
    <col min="5" max="5" width="13.28515625" style="2" customWidth="1"/>
    <col min="6" max="6" width="13.42578125" style="2" customWidth="1"/>
    <col min="7" max="7" width="12.7109375" style="2" customWidth="1"/>
    <col min="8" max="8" width="12.5703125" style="2" customWidth="1"/>
    <col min="9" max="9" width="13" style="2" customWidth="1"/>
    <col min="10" max="10" width="11.140625" style="2" customWidth="1"/>
    <col min="11" max="11" width="10.42578125" style="2" customWidth="1"/>
    <col min="12" max="12" width="10.140625" style="2" bestFit="1" customWidth="1"/>
    <col min="13" max="13" width="8.140625" style="2" customWidth="1"/>
    <col min="14" max="14" width="7.7109375" style="2" customWidth="1"/>
    <col min="15" max="15" width="11" style="2" customWidth="1"/>
    <col min="16" max="16" width="10.140625" style="2" bestFit="1" customWidth="1"/>
    <col min="17" max="17" width="10.85546875" style="2" customWidth="1"/>
    <col min="18" max="18" width="9.5703125" style="2" bestFit="1" customWidth="1"/>
    <col min="19" max="19" width="7.140625" style="2" customWidth="1"/>
    <col min="20" max="20" width="9.28515625" style="2" bestFit="1" customWidth="1"/>
    <col min="21" max="21" width="7" style="2" customWidth="1"/>
    <col min="22" max="22" width="9.28515625" style="2" bestFit="1" customWidth="1"/>
    <col min="23" max="23" width="8.140625" style="2" customWidth="1"/>
    <col min="24" max="24" width="9.28515625" style="2" bestFit="1" customWidth="1"/>
    <col min="25" max="25" width="8.7109375" style="2" customWidth="1"/>
    <col min="26" max="26" width="8.5703125" style="2" customWidth="1"/>
    <col min="27" max="27" width="9.85546875" style="2" customWidth="1"/>
    <col min="28" max="28" width="8.42578125" style="2" customWidth="1"/>
    <col min="29" max="29" width="10.42578125" style="2" customWidth="1"/>
    <col min="30" max="30" width="9.28515625" style="2" customWidth="1"/>
    <col min="31" max="31" width="7.42578125" style="2" customWidth="1"/>
    <col min="32" max="32" width="7.28515625" style="2" customWidth="1"/>
    <col min="33" max="33" width="11" style="2" customWidth="1"/>
    <col min="34" max="34" width="10" style="2" customWidth="1"/>
    <col min="35" max="35" width="11" style="2" customWidth="1"/>
    <col min="36" max="36" width="38.28515625" style="2" customWidth="1"/>
    <col min="37" max="37" width="10.85546875" style="2" customWidth="1"/>
    <col min="38" max="38" width="12" style="2" hidden="1" customWidth="1"/>
    <col min="39" max="39" width="11" style="2" hidden="1" customWidth="1"/>
    <col min="40" max="40" width="13.28515625" style="2" hidden="1" customWidth="1"/>
    <col min="41" max="41" width="12.7109375" style="2" hidden="1" customWidth="1"/>
    <col min="42" max="42" width="12.28515625" style="2" hidden="1" customWidth="1"/>
    <col min="43" max="44" width="13" style="2" hidden="1" customWidth="1"/>
    <col min="45" max="45" width="56.7109375" style="2" customWidth="1"/>
    <col min="46" max="46" width="43" style="2" hidden="1" customWidth="1"/>
    <col min="47" max="16384" width="9.140625" style="2"/>
  </cols>
  <sheetData>
    <row r="1" spans="1:46" hidden="1"/>
    <row r="2" spans="1:46" hidden="1"/>
    <row r="3" spans="1:46" ht="13.5" customHeight="1">
      <c r="AI3" s="105" t="s">
        <v>0</v>
      </c>
      <c r="AJ3" s="105"/>
      <c r="AK3" s="105"/>
      <c r="AS3" s="2" t="s">
        <v>1</v>
      </c>
    </row>
    <row r="4" spans="1:46" ht="24" customHeight="1">
      <c r="B4" s="105" t="s">
        <v>2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</row>
    <row r="5" spans="1:46" ht="24" customHeight="1">
      <c r="A5" s="101"/>
      <c r="B5" s="102" t="s">
        <v>3</v>
      </c>
      <c r="C5" s="96" t="s">
        <v>4</v>
      </c>
      <c r="D5" s="97"/>
      <c r="E5" s="95" t="s">
        <v>5</v>
      </c>
      <c r="F5" s="95"/>
      <c r="G5" s="100" t="s">
        <v>6</v>
      </c>
      <c r="H5" s="100"/>
      <c r="I5" s="95" t="s">
        <v>7</v>
      </c>
      <c r="J5" s="95"/>
      <c r="K5" s="95" t="s">
        <v>8</v>
      </c>
      <c r="L5" s="95"/>
      <c r="M5" s="95" t="s">
        <v>9</v>
      </c>
      <c r="N5" s="95"/>
      <c r="O5" s="95" t="s">
        <v>10</v>
      </c>
      <c r="P5" s="95"/>
      <c r="Q5" s="95" t="s">
        <v>11</v>
      </c>
      <c r="R5" s="95"/>
      <c r="S5" s="96" t="s">
        <v>12</v>
      </c>
      <c r="T5" s="97"/>
      <c r="U5" s="95" t="s">
        <v>13</v>
      </c>
      <c r="V5" s="95"/>
      <c r="W5" s="95" t="s">
        <v>14</v>
      </c>
      <c r="X5" s="95"/>
      <c r="Y5" s="95" t="s">
        <v>15</v>
      </c>
      <c r="Z5" s="95"/>
      <c r="AA5" s="96" t="s">
        <v>16</v>
      </c>
      <c r="AB5" s="97"/>
      <c r="AC5" s="95" t="s">
        <v>17</v>
      </c>
      <c r="AD5" s="95"/>
      <c r="AE5" s="96" t="s">
        <v>18</v>
      </c>
      <c r="AF5" s="97"/>
      <c r="AG5" s="95" t="s">
        <v>19</v>
      </c>
      <c r="AH5" s="95"/>
      <c r="AI5" s="96" t="s">
        <v>20</v>
      </c>
      <c r="AJ5" s="106"/>
      <c r="AK5" s="106"/>
      <c r="AL5" s="106"/>
      <c r="AM5" s="106"/>
      <c r="AN5" s="106"/>
      <c r="AO5" s="106"/>
      <c r="AP5" s="106"/>
      <c r="AQ5" s="106"/>
      <c r="AR5" s="106"/>
      <c r="AS5" s="97"/>
      <c r="AT5" s="4"/>
    </row>
    <row r="6" spans="1:46" ht="36" customHeight="1">
      <c r="A6" s="101"/>
      <c r="B6" s="103"/>
      <c r="C6" s="98"/>
      <c r="D6" s="99"/>
      <c r="E6" s="95"/>
      <c r="F6" s="95"/>
      <c r="G6" s="95" t="s">
        <v>21</v>
      </c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8"/>
      <c r="T6" s="99"/>
      <c r="U6" s="95"/>
      <c r="V6" s="95"/>
      <c r="W6" s="95"/>
      <c r="X6" s="95"/>
      <c r="Y6" s="95"/>
      <c r="Z6" s="95"/>
      <c r="AA6" s="98"/>
      <c r="AB6" s="99"/>
      <c r="AC6" s="95"/>
      <c r="AD6" s="95"/>
      <c r="AE6" s="98"/>
      <c r="AF6" s="99"/>
      <c r="AG6" s="95"/>
      <c r="AH6" s="95"/>
      <c r="AI6" s="98"/>
      <c r="AJ6" s="107"/>
      <c r="AK6" s="107"/>
      <c r="AL6" s="107"/>
      <c r="AM6" s="107"/>
      <c r="AN6" s="107"/>
      <c r="AO6" s="107"/>
      <c r="AP6" s="107"/>
      <c r="AQ6" s="107"/>
      <c r="AR6" s="107"/>
      <c r="AS6" s="99"/>
      <c r="AT6" s="4"/>
    </row>
    <row r="7" spans="1:46" s="8" customFormat="1" ht="68.25" customHeight="1">
      <c r="A7" s="101"/>
      <c r="B7" s="104"/>
      <c r="C7" s="5" t="s">
        <v>22</v>
      </c>
      <c r="D7" s="5" t="s">
        <v>23</v>
      </c>
      <c r="E7" s="5" t="s">
        <v>24</v>
      </c>
      <c r="F7" s="5" t="s">
        <v>23</v>
      </c>
      <c r="G7" s="5" t="s">
        <v>25</v>
      </c>
      <c r="H7" s="5" t="s">
        <v>23</v>
      </c>
      <c r="I7" s="5" t="s">
        <v>22</v>
      </c>
      <c r="J7" s="5" t="s">
        <v>23</v>
      </c>
      <c r="K7" s="5" t="s">
        <v>25</v>
      </c>
      <c r="L7" s="5" t="s">
        <v>23</v>
      </c>
      <c r="M7" s="5" t="s">
        <v>25</v>
      </c>
      <c r="N7" s="5" t="s">
        <v>23</v>
      </c>
      <c r="O7" s="5" t="s">
        <v>25</v>
      </c>
      <c r="P7" s="5" t="s">
        <v>23</v>
      </c>
      <c r="Q7" s="5" t="s">
        <v>25</v>
      </c>
      <c r="R7" s="5" t="s">
        <v>23</v>
      </c>
      <c r="S7" s="5" t="s">
        <v>25</v>
      </c>
      <c r="T7" s="5" t="s">
        <v>23</v>
      </c>
      <c r="U7" s="5" t="s">
        <v>25</v>
      </c>
      <c r="V7" s="5" t="s">
        <v>23</v>
      </c>
      <c r="W7" s="5" t="s">
        <v>25</v>
      </c>
      <c r="X7" s="5" t="s">
        <v>23</v>
      </c>
      <c r="Y7" s="5" t="s">
        <v>25</v>
      </c>
      <c r="Z7" s="5" t="s">
        <v>23</v>
      </c>
      <c r="AA7" s="5" t="s">
        <v>25</v>
      </c>
      <c r="AB7" s="5" t="s">
        <v>23</v>
      </c>
      <c r="AC7" s="5" t="s">
        <v>25</v>
      </c>
      <c r="AD7" s="5" t="s">
        <v>23</v>
      </c>
      <c r="AE7" s="5" t="s">
        <v>25</v>
      </c>
      <c r="AF7" s="5" t="s">
        <v>23</v>
      </c>
      <c r="AG7" s="5" t="s">
        <v>25</v>
      </c>
      <c r="AH7" s="5" t="s">
        <v>23</v>
      </c>
      <c r="AI7" s="5" t="s">
        <v>25</v>
      </c>
      <c r="AJ7" s="5" t="s">
        <v>26</v>
      </c>
      <c r="AK7" s="5" t="s">
        <v>23</v>
      </c>
      <c r="AL7" s="5"/>
      <c r="AM7" s="5"/>
      <c r="AN7" s="5"/>
      <c r="AO7" s="5"/>
      <c r="AP7" s="5"/>
      <c r="AQ7" s="5"/>
      <c r="AR7" s="6"/>
      <c r="AS7" s="6" t="s">
        <v>26</v>
      </c>
      <c r="AT7" s="7"/>
    </row>
    <row r="8" spans="1:46" s="8" customFormat="1" ht="78.75">
      <c r="A8" s="16">
        <v>1</v>
      </c>
      <c r="B8" s="87" t="s">
        <v>27</v>
      </c>
      <c r="C8" s="10">
        <f t="shared" ref="C8:C13" si="0">E8+I8+K8+M8+O8+Q8+S8+U8+W8+Y8+AA8+AC8+AE8+AG8+AI8</f>
        <v>55273.979999999996</v>
      </c>
      <c r="D8" s="10">
        <f t="shared" ref="D8:D13" si="1">F8+J8+L8+N8+P8+R8+T8+V8+X8+Z8+AB8+AD8+AF8+AH8+AK8</f>
        <v>59082.793058099996</v>
      </c>
      <c r="E8" s="10">
        <f>[1]ЗП2018!J4</f>
        <v>33666.699999999997</v>
      </c>
      <c r="F8" s="10">
        <f>[1]бюджет2019!D7</f>
        <v>33666.699999999997</v>
      </c>
      <c r="G8" s="10">
        <f>'[1]МРОТ с мая '!U17</f>
        <v>266.464</v>
      </c>
      <c r="H8" s="10">
        <f>'[1]МРОТ с мая '!V17</f>
        <v>267.91200000000003</v>
      </c>
      <c r="I8" s="10">
        <f>[1]ЗП2018!K4</f>
        <v>10167.280000000001</v>
      </c>
      <c r="J8" s="10">
        <f>[1]бюджет2019!E7</f>
        <v>10167.343399999998</v>
      </c>
      <c r="K8" s="10">
        <v>176</v>
      </c>
      <c r="L8" s="10">
        <f>[1]бюджет2019!G7</f>
        <v>180.47640000000001</v>
      </c>
      <c r="M8" s="10">
        <v>175.4</v>
      </c>
      <c r="N8" s="10">
        <f>[1]бюджет2019!F7</f>
        <v>182.16</v>
      </c>
      <c r="O8" s="10">
        <v>6.8</v>
      </c>
      <c r="P8" s="10">
        <f>[1]бюджет2019!J7</f>
        <v>20.113885000000003</v>
      </c>
      <c r="Q8" s="10">
        <v>17.2</v>
      </c>
      <c r="R8" s="10">
        <f>[1]бюджет2019!I7</f>
        <v>17.198573099999997</v>
      </c>
      <c r="S8" s="10">
        <v>2.2000000000000002</v>
      </c>
      <c r="T8" s="10">
        <f>[1]бюджет2019!K7</f>
        <v>4.6007999999999996</v>
      </c>
      <c r="U8" s="10">
        <v>0</v>
      </c>
      <c r="V8" s="10">
        <v>18</v>
      </c>
      <c r="W8" s="10">
        <v>0</v>
      </c>
      <c r="X8" s="10">
        <v>0</v>
      </c>
      <c r="Y8" s="10">
        <v>300.39999999999998</v>
      </c>
      <c r="Z8" s="10">
        <v>312.52</v>
      </c>
      <c r="AA8" s="10">
        <v>0</v>
      </c>
      <c r="AB8" s="10">
        <v>0</v>
      </c>
      <c r="AC8" s="10">
        <v>10000</v>
      </c>
      <c r="AD8" s="10">
        <v>13950</v>
      </c>
      <c r="AE8" s="10">
        <v>0</v>
      </c>
      <c r="AF8" s="10">
        <v>0</v>
      </c>
      <c r="AG8" s="10">
        <v>0</v>
      </c>
      <c r="AH8" s="10">
        <v>0</v>
      </c>
      <c r="AI8" s="10">
        <v>761.99999999999966</v>
      </c>
      <c r="AJ8" s="11" t="s">
        <v>28</v>
      </c>
      <c r="AK8" s="10">
        <v>563.68000000000075</v>
      </c>
      <c r="AL8" s="12"/>
      <c r="AM8" s="12"/>
      <c r="AN8" s="12"/>
      <c r="AO8" s="12"/>
      <c r="AP8" s="12"/>
      <c r="AQ8" s="12"/>
      <c r="AR8" s="13"/>
      <c r="AS8" s="11" t="s">
        <v>29</v>
      </c>
      <c r="AT8" s="7"/>
    </row>
    <row r="9" spans="1:46" s="8" customFormat="1" ht="153" customHeight="1">
      <c r="A9" s="9">
        <v>1</v>
      </c>
      <c r="B9" s="14" t="s">
        <v>30</v>
      </c>
      <c r="C9" s="10">
        <f t="shared" si="0"/>
        <v>114939.65</v>
      </c>
      <c r="D9" s="10">
        <f t="shared" si="1"/>
        <v>145797.15635477199</v>
      </c>
      <c r="E9" s="10">
        <v>70219.3</v>
      </c>
      <c r="F9" s="10">
        <f>[1]бюджет2019!D8</f>
        <v>70444.042536000008</v>
      </c>
      <c r="G9" s="10">
        <f>'[1]МРОТ с мая '!U18</f>
        <v>18504.835119999996</v>
      </c>
      <c r="H9" s="10">
        <f>'[1]МРОТ с мая '!V18</f>
        <v>19628.572680000005</v>
      </c>
      <c r="I9" s="10">
        <v>21206.25</v>
      </c>
      <c r="J9" s="10">
        <f>[1]бюджет2019!E8</f>
        <v>21274.100845872003</v>
      </c>
      <c r="K9" s="10">
        <v>1722.2</v>
      </c>
      <c r="L9" s="10">
        <f>[1]бюджет2019!G8</f>
        <v>1866.376</v>
      </c>
      <c r="M9" s="10">
        <v>75.7</v>
      </c>
      <c r="N9" s="10">
        <f>[1]бюджет2019!F8</f>
        <v>75.680000000000007</v>
      </c>
      <c r="O9" s="10">
        <v>29.8</v>
      </c>
      <c r="P9" s="10">
        <f>[1]бюджет2019!J8</f>
        <v>567.26962600000002</v>
      </c>
      <c r="Q9" s="10">
        <v>137.4</v>
      </c>
      <c r="R9" s="10">
        <f>[1]бюджет2019!I8</f>
        <v>247.88414689999996</v>
      </c>
      <c r="S9" s="10">
        <v>1</v>
      </c>
      <c r="T9" s="10">
        <f>[1]бюджет2019!K8</f>
        <v>0.78320000000000001</v>
      </c>
      <c r="U9" s="10">
        <v>0</v>
      </c>
      <c r="V9" s="10">
        <v>0</v>
      </c>
      <c r="W9" s="10">
        <v>0</v>
      </c>
      <c r="X9" s="10">
        <v>0</v>
      </c>
      <c r="Y9" s="10">
        <v>120</v>
      </c>
      <c r="Z9" s="10">
        <v>67.5</v>
      </c>
      <c r="AA9" s="10">
        <v>100</v>
      </c>
      <c r="AB9" s="10">
        <v>1485</v>
      </c>
      <c r="AC9" s="10">
        <v>699</v>
      </c>
      <c r="AD9" s="10">
        <v>2580</v>
      </c>
      <c r="AE9" s="10">
        <v>0</v>
      </c>
      <c r="AF9" s="10">
        <v>127.9</v>
      </c>
      <c r="AG9" s="10">
        <v>20120.25</v>
      </c>
      <c r="AH9" s="10">
        <v>5381.82</v>
      </c>
      <c r="AI9" s="10">
        <v>508.75</v>
      </c>
      <c r="AJ9" s="15" t="s">
        <v>31</v>
      </c>
      <c r="AK9" s="10">
        <v>41678.799999999996</v>
      </c>
      <c r="AL9" s="12"/>
      <c r="AM9" s="12"/>
      <c r="AN9" s="12"/>
      <c r="AO9" s="12"/>
      <c r="AP9" s="12"/>
      <c r="AQ9" s="12"/>
      <c r="AR9" s="13"/>
      <c r="AS9" s="15" t="s">
        <v>32</v>
      </c>
      <c r="AT9" s="7"/>
    </row>
    <row r="10" spans="1:46" s="8" customFormat="1" ht="141.75">
      <c r="A10" s="9">
        <v>2</v>
      </c>
      <c r="B10" s="14" t="s">
        <v>33</v>
      </c>
      <c r="C10" s="10">
        <f t="shared" si="0"/>
        <v>23291.011624000002</v>
      </c>
      <c r="D10" s="10">
        <f t="shared" si="1"/>
        <v>109175.7820257</v>
      </c>
      <c r="E10" s="10">
        <f>[1]ЗП2018!J6</f>
        <v>14988.300000000001</v>
      </c>
      <c r="F10" s="10">
        <f>[1]бюджет2019!D9</f>
        <v>15522.069152073733</v>
      </c>
      <c r="G10" s="10">
        <f>'[1]МРОТ с мая '!U34</f>
        <v>4281.5220000000008</v>
      </c>
      <c r="H10" s="10">
        <f>'[1]МРОТ с мая '!V34</f>
        <v>4487.5259999999998</v>
      </c>
      <c r="I10" s="10">
        <f>[1]ЗП2018!K6</f>
        <v>4526.5116239999988</v>
      </c>
      <c r="J10" s="10">
        <f>[1]бюджет2019!E9</f>
        <v>4687.6648839262671</v>
      </c>
      <c r="K10" s="10">
        <v>754.4</v>
      </c>
      <c r="L10" s="10">
        <f>[1]бюджет2019!G9</f>
        <v>797.60800000000006</v>
      </c>
      <c r="M10" s="10">
        <v>30.4</v>
      </c>
      <c r="N10" s="10">
        <f>[1]бюджет2019!F9</f>
        <v>30.44</v>
      </c>
      <c r="O10" s="10">
        <v>58.4</v>
      </c>
      <c r="P10" s="10">
        <f>[1]бюджет2019!J9</f>
        <v>83.163971000000004</v>
      </c>
      <c r="Q10" s="10">
        <v>52.1</v>
      </c>
      <c r="R10" s="10">
        <f>[1]бюджет2019!I9</f>
        <v>52.1180187</v>
      </c>
      <c r="S10" s="10">
        <v>2.2000000000000002</v>
      </c>
      <c r="T10" s="10">
        <f>[1]бюджет2019!K9</f>
        <v>1.9179999999999999</v>
      </c>
      <c r="U10" s="10">
        <v>104</v>
      </c>
      <c r="V10" s="10">
        <v>104.4</v>
      </c>
      <c r="W10" s="10">
        <v>0</v>
      </c>
      <c r="X10" s="10">
        <v>0</v>
      </c>
      <c r="Y10" s="10">
        <v>70</v>
      </c>
      <c r="Z10" s="10">
        <v>80</v>
      </c>
      <c r="AA10" s="10">
        <v>187.31300000000002</v>
      </c>
      <c r="AB10" s="10">
        <v>80</v>
      </c>
      <c r="AC10" s="10">
        <v>1165</v>
      </c>
      <c r="AD10" s="10">
        <v>1720</v>
      </c>
      <c r="AE10" s="10">
        <v>317</v>
      </c>
      <c r="AF10" s="10">
        <v>0</v>
      </c>
      <c r="AG10" s="10">
        <v>0</v>
      </c>
      <c r="AH10" s="10">
        <v>34660.699999999997</v>
      </c>
      <c r="AI10" s="10">
        <v>1035.3869999999997</v>
      </c>
      <c r="AJ10" s="15" t="s">
        <v>34</v>
      </c>
      <c r="AK10" s="10">
        <v>51355.69999999999</v>
      </c>
      <c r="AL10" s="12"/>
      <c r="AM10" s="12"/>
      <c r="AN10" s="12"/>
      <c r="AO10" s="12"/>
      <c r="AP10" s="12"/>
      <c r="AQ10" s="12"/>
      <c r="AR10" s="13"/>
      <c r="AS10" s="15" t="s">
        <v>35</v>
      </c>
      <c r="AT10" s="7"/>
    </row>
    <row r="11" spans="1:46" s="8" customFormat="1" ht="110.25">
      <c r="A11" s="9">
        <v>3</v>
      </c>
      <c r="B11" s="14" t="s">
        <v>36</v>
      </c>
      <c r="C11" s="10">
        <f t="shared" si="0"/>
        <v>45628.320000000007</v>
      </c>
      <c r="D11" s="10">
        <f t="shared" si="1"/>
        <v>69480.023981200007</v>
      </c>
      <c r="E11" s="10">
        <f>[1]ЗП2018!J7</f>
        <v>30628.45</v>
      </c>
      <c r="F11" s="10">
        <f>[1]бюджет2019!D10</f>
        <v>30813.813600000001</v>
      </c>
      <c r="G11" s="10">
        <f>'[1]МРОТ с мая '!U35</f>
        <v>5093.424</v>
      </c>
      <c r="H11" s="10">
        <f>'[1]МРОТ с мая '!V35</f>
        <v>5358.24</v>
      </c>
      <c r="I11" s="10">
        <f>[1]ЗП2018!K7</f>
        <v>9249.77</v>
      </c>
      <c r="J11" s="10">
        <f>[1]бюджет2019!E10</f>
        <v>9305.7717071999996</v>
      </c>
      <c r="K11" s="10">
        <v>1617.9</v>
      </c>
      <c r="L11" s="10">
        <f>[1]бюджет2019!G10</f>
        <v>3460</v>
      </c>
      <c r="M11" s="10">
        <v>67</v>
      </c>
      <c r="N11" s="10">
        <f>[1]бюджет2019!F10</f>
        <v>67.040000000000006</v>
      </c>
      <c r="O11" s="10">
        <v>11.5</v>
      </c>
      <c r="P11" s="10">
        <f>[1]бюджет2019!J10</f>
        <v>11.322674000000001</v>
      </c>
      <c r="Q11" s="10">
        <v>0</v>
      </c>
      <c r="R11" s="10">
        <f>[1]бюджет2019!I10</f>
        <v>0</v>
      </c>
      <c r="S11" s="10">
        <v>3.3</v>
      </c>
      <c r="T11" s="10">
        <f>[1]бюджет2019!K10</f>
        <v>4.6360000000000001</v>
      </c>
      <c r="U11" s="10">
        <v>154</v>
      </c>
      <c r="V11" s="10">
        <v>120</v>
      </c>
      <c r="W11" s="10">
        <v>0</v>
      </c>
      <c r="X11" s="10">
        <v>0</v>
      </c>
      <c r="Y11" s="10">
        <v>110</v>
      </c>
      <c r="Z11" s="10">
        <v>144</v>
      </c>
      <c r="AA11" s="10">
        <v>90</v>
      </c>
      <c r="AB11" s="10">
        <v>118.4</v>
      </c>
      <c r="AC11" s="10">
        <v>1165</v>
      </c>
      <c r="AD11" s="10">
        <v>6720</v>
      </c>
      <c r="AE11" s="10">
        <v>0</v>
      </c>
      <c r="AF11" s="10">
        <v>0</v>
      </c>
      <c r="AG11" s="10">
        <v>0</v>
      </c>
      <c r="AH11" s="10">
        <v>5200</v>
      </c>
      <c r="AI11" s="10">
        <v>2531.4</v>
      </c>
      <c r="AJ11" s="15" t="s">
        <v>37</v>
      </c>
      <c r="AK11" s="10">
        <v>13515.040000000003</v>
      </c>
      <c r="AL11" s="12"/>
      <c r="AM11" s="12"/>
      <c r="AN11" s="12"/>
      <c r="AO11" s="12"/>
      <c r="AP11" s="12"/>
      <c r="AQ11" s="12"/>
      <c r="AR11" s="13"/>
      <c r="AS11" s="15" t="s">
        <v>38</v>
      </c>
      <c r="AT11" s="7"/>
    </row>
    <row r="12" spans="1:46" s="8" customFormat="1" ht="110.25">
      <c r="A12" s="9">
        <v>4</v>
      </c>
      <c r="B12" s="14" t="s">
        <v>39</v>
      </c>
      <c r="C12" s="10">
        <f t="shared" si="0"/>
        <v>10491.470000000001</v>
      </c>
      <c r="D12" s="10">
        <f>F12+J12+L12+N12+P12+R12+T12+V12+X12+Z12+AB12+AD12+AF12+AH12+AK12</f>
        <v>30164.281879000002</v>
      </c>
      <c r="E12" s="10">
        <f>[1]ЗП2018!J8</f>
        <v>7354.65</v>
      </c>
      <c r="F12" s="10">
        <f>[1]бюджет2019!D11</f>
        <v>7381.4519999999993</v>
      </c>
      <c r="G12" s="10">
        <f>'[1]МРОТ с мая '!U36</f>
        <v>1018.0799999999999</v>
      </c>
      <c r="H12" s="10">
        <f>'[1]МРОТ с мая '!V36</f>
        <v>1071.6480000000001</v>
      </c>
      <c r="I12" s="10">
        <v>2221.12</v>
      </c>
      <c r="J12" s="10">
        <f>[1]бюджет2019!E11</f>
        <v>2229.1985039999995</v>
      </c>
      <c r="K12" s="10">
        <v>0</v>
      </c>
      <c r="L12" s="10">
        <f>[1]бюджет2019!G11</f>
        <v>0</v>
      </c>
      <c r="M12" s="10">
        <v>42.1</v>
      </c>
      <c r="N12" s="10">
        <f>[1]бюджет2019!F11</f>
        <v>42.08</v>
      </c>
      <c r="O12" s="10">
        <v>10.6</v>
      </c>
      <c r="P12" s="10">
        <f>[1]бюджет2019!J11</f>
        <v>5.5673750000000011</v>
      </c>
      <c r="Q12" s="10">
        <v>7.7</v>
      </c>
      <c r="R12" s="10">
        <f>[1]бюджет2019!I11</f>
        <v>7.6799999999999988</v>
      </c>
      <c r="S12" s="10">
        <v>2.8</v>
      </c>
      <c r="T12" s="10">
        <f>[1]бюджет2019!K11</f>
        <v>2.1040000000000001</v>
      </c>
      <c r="U12" s="10">
        <v>0</v>
      </c>
      <c r="V12" s="10">
        <v>0</v>
      </c>
      <c r="W12" s="10">
        <v>0</v>
      </c>
      <c r="X12" s="10">
        <v>3600</v>
      </c>
      <c r="Y12" s="10">
        <v>0</v>
      </c>
      <c r="Z12" s="10">
        <v>150</v>
      </c>
      <c r="AA12" s="10">
        <v>0</v>
      </c>
      <c r="AB12" s="10">
        <v>120</v>
      </c>
      <c r="AC12" s="10">
        <v>466</v>
      </c>
      <c r="AD12" s="10">
        <v>430</v>
      </c>
      <c r="AE12" s="10">
        <v>0</v>
      </c>
      <c r="AF12" s="10">
        <v>0</v>
      </c>
      <c r="AG12" s="10">
        <v>0</v>
      </c>
      <c r="AH12" s="10">
        <v>0</v>
      </c>
      <c r="AI12" s="10">
        <v>386.5</v>
      </c>
      <c r="AJ12" s="15" t="s">
        <v>40</v>
      </c>
      <c r="AK12" s="10">
        <v>16196.2</v>
      </c>
      <c r="AL12" s="12"/>
      <c r="AM12" s="12"/>
      <c r="AN12" s="12"/>
      <c r="AO12" s="12"/>
      <c r="AP12" s="12"/>
      <c r="AQ12" s="12"/>
      <c r="AR12" s="13"/>
      <c r="AS12" s="15" t="s">
        <v>41</v>
      </c>
      <c r="AT12" s="7"/>
    </row>
    <row r="13" spans="1:46" s="8" customFormat="1" ht="126">
      <c r="A13" s="9">
        <v>5</v>
      </c>
      <c r="B13" s="14" t="s">
        <v>42</v>
      </c>
      <c r="C13" s="10">
        <f t="shared" si="0"/>
        <v>12812.359999999999</v>
      </c>
      <c r="D13" s="10">
        <f t="shared" si="1"/>
        <v>17757.123823999998</v>
      </c>
      <c r="E13" s="10">
        <f>[1]ЗП2018!J9</f>
        <v>8332.75</v>
      </c>
      <c r="F13" s="10">
        <f>[1]бюджет2019!D12</f>
        <v>8368.0920000000006</v>
      </c>
      <c r="G13" s="10">
        <f>'[1]МРОТ с мая '!U37</f>
        <v>1536.7440000000001</v>
      </c>
      <c r="H13" s="10">
        <f>'[1]МРОТ с мая '!V37</f>
        <v>1607.4720000000002</v>
      </c>
      <c r="I13" s="10">
        <f>[1]ЗП2018!K9</f>
        <v>2516.5100000000002</v>
      </c>
      <c r="J13" s="10">
        <f>[1]бюджет2019!E12</f>
        <v>2527.1637840000003</v>
      </c>
      <c r="K13" s="10">
        <v>200</v>
      </c>
      <c r="L13" s="10">
        <f>[1]бюджет2019!G12</f>
        <v>212</v>
      </c>
      <c r="M13" s="10">
        <v>48.8</v>
      </c>
      <c r="N13" s="10">
        <f>[1]бюджет2019!F12</f>
        <v>48.8</v>
      </c>
      <c r="O13" s="10">
        <v>0</v>
      </c>
      <c r="P13" s="10">
        <f>[1]бюджет2019!J12</f>
        <v>11.040040000000001</v>
      </c>
      <c r="Q13" s="10">
        <v>0</v>
      </c>
      <c r="R13" s="10">
        <f>[1]бюджет2019!I12</f>
        <v>0</v>
      </c>
      <c r="S13" s="10">
        <v>0</v>
      </c>
      <c r="T13" s="10">
        <f>[1]бюджет2019!K12</f>
        <v>0</v>
      </c>
      <c r="U13" s="10">
        <v>0</v>
      </c>
      <c r="V13" s="10">
        <v>1274.328</v>
      </c>
      <c r="W13" s="10">
        <v>1200</v>
      </c>
      <c r="X13" s="10">
        <v>1200</v>
      </c>
      <c r="Y13" s="10">
        <v>0</v>
      </c>
      <c r="Z13" s="10">
        <v>0</v>
      </c>
      <c r="AA13" s="10">
        <v>0</v>
      </c>
      <c r="AB13" s="10">
        <v>0</v>
      </c>
      <c r="AC13" s="10">
        <v>233</v>
      </c>
      <c r="AD13" s="10">
        <v>430</v>
      </c>
      <c r="AE13" s="10">
        <v>0</v>
      </c>
      <c r="AF13" s="10">
        <v>0</v>
      </c>
      <c r="AG13" s="10">
        <v>0</v>
      </c>
      <c r="AH13" s="10">
        <v>0</v>
      </c>
      <c r="AI13" s="10">
        <v>281.29999999999995</v>
      </c>
      <c r="AJ13" s="15" t="s">
        <v>43</v>
      </c>
      <c r="AK13" s="10">
        <f>4885.7-1200</f>
        <v>3685.7</v>
      </c>
      <c r="AL13" s="12"/>
      <c r="AM13" s="12"/>
      <c r="AN13" s="12"/>
      <c r="AO13" s="12"/>
      <c r="AP13" s="12"/>
      <c r="AQ13" s="12"/>
      <c r="AR13" s="13"/>
      <c r="AS13" s="15" t="s">
        <v>44</v>
      </c>
      <c r="AT13" s="7"/>
    </row>
    <row r="14" spans="1:46" s="8" customFormat="1">
      <c r="A14" s="16"/>
      <c r="B14" s="17" t="s">
        <v>45</v>
      </c>
      <c r="C14" s="18">
        <f>C9+C10+C11+C12+C13</f>
        <v>207162.81162399999</v>
      </c>
      <c r="D14" s="18">
        <f t="shared" ref="D14:AK14" si="2">D9+D10+D11+D12+D13</f>
        <v>372374.36806467199</v>
      </c>
      <c r="E14" s="18">
        <f t="shared" si="2"/>
        <v>131523.45000000001</v>
      </c>
      <c r="F14" s="18">
        <f t="shared" si="2"/>
        <v>132529.46928807374</v>
      </c>
      <c r="G14" s="18">
        <f t="shared" si="2"/>
        <v>30434.605119999993</v>
      </c>
      <c r="H14" s="18">
        <f t="shared" si="2"/>
        <v>32153.458680000003</v>
      </c>
      <c r="I14" s="18">
        <f t="shared" si="2"/>
        <v>39720.161624</v>
      </c>
      <c r="J14" s="18">
        <f t="shared" si="2"/>
        <v>40023.899724998264</v>
      </c>
      <c r="K14" s="18">
        <f t="shared" si="2"/>
        <v>4294.5</v>
      </c>
      <c r="L14" s="18">
        <f t="shared" si="2"/>
        <v>6335.9840000000004</v>
      </c>
      <c r="M14" s="18">
        <f t="shared" si="2"/>
        <v>264</v>
      </c>
      <c r="N14" s="18">
        <f t="shared" si="2"/>
        <v>264.04000000000002</v>
      </c>
      <c r="O14" s="18">
        <f t="shared" si="2"/>
        <v>110.3</v>
      </c>
      <c r="P14" s="18">
        <f t="shared" si="2"/>
        <v>678.36368599999992</v>
      </c>
      <c r="Q14" s="18">
        <f t="shared" si="2"/>
        <v>197.2</v>
      </c>
      <c r="R14" s="18">
        <f t="shared" si="2"/>
        <v>307.68216559999996</v>
      </c>
      <c r="S14" s="18">
        <f t="shared" si="2"/>
        <v>9.3000000000000007</v>
      </c>
      <c r="T14" s="18">
        <f t="shared" si="2"/>
        <v>9.4412000000000003</v>
      </c>
      <c r="U14" s="18">
        <f t="shared" si="2"/>
        <v>258</v>
      </c>
      <c r="V14" s="18">
        <f t="shared" si="2"/>
        <v>1498.7280000000001</v>
      </c>
      <c r="W14" s="18">
        <f t="shared" si="2"/>
        <v>1200</v>
      </c>
      <c r="X14" s="18">
        <f t="shared" si="2"/>
        <v>4800</v>
      </c>
      <c r="Y14" s="18">
        <f t="shared" si="2"/>
        <v>300</v>
      </c>
      <c r="Z14" s="18">
        <f t="shared" si="2"/>
        <v>441.5</v>
      </c>
      <c r="AA14" s="18">
        <f t="shared" si="2"/>
        <v>377.31299999999999</v>
      </c>
      <c r="AB14" s="18">
        <f t="shared" si="2"/>
        <v>1803.4</v>
      </c>
      <c r="AC14" s="18">
        <f t="shared" si="2"/>
        <v>3728</v>
      </c>
      <c r="AD14" s="18">
        <f t="shared" si="2"/>
        <v>11880</v>
      </c>
      <c r="AE14" s="18">
        <f t="shared" si="2"/>
        <v>317</v>
      </c>
      <c r="AF14" s="18">
        <f t="shared" si="2"/>
        <v>127.9</v>
      </c>
      <c r="AG14" s="18">
        <f t="shared" si="2"/>
        <v>20120.25</v>
      </c>
      <c r="AH14" s="18">
        <f t="shared" si="2"/>
        <v>45242.52</v>
      </c>
      <c r="AI14" s="18">
        <f t="shared" si="2"/>
        <v>4743.3370000000004</v>
      </c>
      <c r="AJ14" s="18"/>
      <c r="AK14" s="18">
        <f t="shared" si="2"/>
        <v>126431.43999999999</v>
      </c>
      <c r="AL14" s="12"/>
      <c r="AM14" s="12"/>
      <c r="AN14" s="12"/>
      <c r="AO14" s="12"/>
      <c r="AP14" s="12"/>
      <c r="AQ14" s="12"/>
      <c r="AR14" s="13"/>
      <c r="AS14" s="13"/>
      <c r="AT14" s="7"/>
    </row>
    <row r="15" spans="1:46" s="8" customFormat="1" ht="110.25">
      <c r="A15" s="9">
        <v>1</v>
      </c>
      <c r="B15" s="14" t="s">
        <v>46</v>
      </c>
      <c r="C15" s="10">
        <f>E15+I15+K15+M15+O15+Q15+S15+U15+W15+Y15+AA15+AC15+AE15+AG15+AI15</f>
        <v>76973.070000000007</v>
      </c>
      <c r="D15" s="10">
        <f>F15+J15+L15+N15+P15+R15+T15+V15+X15+Z15+AB15+AD15+AF15+AH15+AK15</f>
        <v>76565.649050029984</v>
      </c>
      <c r="E15" s="10">
        <v>47050.25</v>
      </c>
      <c r="F15" s="10">
        <f>[1]бюджет2019!D14</f>
        <v>47247.978000000003</v>
      </c>
      <c r="G15" s="10">
        <f>'[1]МРОТ с мая '!U39</f>
        <v>7775.8640000000014</v>
      </c>
      <c r="H15" s="10">
        <f>'[1]МРОТ с мая '!V39</f>
        <v>8171.3159999999998</v>
      </c>
      <c r="I15" s="10">
        <v>14209.22</v>
      </c>
      <c r="J15" s="10">
        <f>[1]бюджет2019!E14</f>
        <v>14268.889356</v>
      </c>
      <c r="K15" s="10">
        <v>2306.4</v>
      </c>
      <c r="L15" s="10">
        <f>[1]бюджет2019!G14</f>
        <v>2498.3520000000003</v>
      </c>
      <c r="M15" s="10">
        <v>159.69999999999999</v>
      </c>
      <c r="N15" s="10">
        <f>[1]бюджет2019!F14</f>
        <v>159.72</v>
      </c>
      <c r="O15" s="10">
        <v>1317</v>
      </c>
      <c r="P15" s="10">
        <f>[1]бюджет2019!J14</f>
        <v>1400.5813580000001</v>
      </c>
      <c r="Q15" s="10">
        <v>291.3</v>
      </c>
      <c r="R15" s="10">
        <f>[1]бюджет2019!I14</f>
        <v>291.34233603000001</v>
      </c>
      <c r="S15" s="10">
        <v>1</v>
      </c>
      <c r="T15" s="10">
        <f>[1]бюджет2019!K14</f>
        <v>1.01</v>
      </c>
      <c r="U15" s="10">
        <v>17.55</v>
      </c>
      <c r="V15" s="10">
        <v>24</v>
      </c>
      <c r="W15" s="10">
        <v>0</v>
      </c>
      <c r="X15" s="10">
        <v>0</v>
      </c>
      <c r="Y15" s="10">
        <v>96</v>
      </c>
      <c r="Z15" s="10">
        <v>0</v>
      </c>
      <c r="AA15" s="10">
        <v>150</v>
      </c>
      <c r="AB15" s="10">
        <v>63</v>
      </c>
      <c r="AC15" s="10">
        <v>407.9</v>
      </c>
      <c r="AD15" s="10">
        <v>0</v>
      </c>
      <c r="AE15" s="10">
        <v>0</v>
      </c>
      <c r="AF15" s="10">
        <v>0</v>
      </c>
      <c r="AG15" s="10">
        <v>6600</v>
      </c>
      <c r="AH15" s="10">
        <v>0</v>
      </c>
      <c r="AI15" s="10">
        <v>4366.7500000000018</v>
      </c>
      <c r="AJ15" s="15" t="s">
        <v>47</v>
      </c>
      <c r="AK15" s="10">
        <v>10610.776</v>
      </c>
      <c r="AL15" s="12">
        <v>4366.7500000000018</v>
      </c>
      <c r="AM15" s="12"/>
      <c r="AN15" s="12"/>
      <c r="AO15" s="12"/>
      <c r="AP15" s="12"/>
      <c r="AQ15" s="12"/>
      <c r="AR15" s="13"/>
      <c r="AS15" s="15" t="s">
        <v>48</v>
      </c>
      <c r="AT15" s="7"/>
    </row>
    <row r="16" spans="1:46" s="8" customFormat="1" ht="63">
      <c r="A16" s="9">
        <v>2</v>
      </c>
      <c r="B16" s="14" t="s">
        <v>49</v>
      </c>
      <c r="C16" s="10">
        <f>E16+I16+K16+M16+O16+Q16+S16+U16+W16+Y16+AA16+AC16+AE16+AG16+AI16</f>
        <v>13196.825000000003</v>
      </c>
      <c r="D16" s="10">
        <f>F16+J16+L16+N16+P16+R16+T16+V16+X16+Z16+AB16+AD16+AF16+AH16+AK16</f>
        <v>14231.075172999996</v>
      </c>
      <c r="E16" s="10">
        <v>8990.1050000000014</v>
      </c>
      <c r="F16" s="10">
        <f>[1]бюджет2019!D15</f>
        <v>9012.2179999999989</v>
      </c>
      <c r="G16" s="10">
        <f>'[1]МРОТ с мая '!U40</f>
        <v>893.48000000000013</v>
      </c>
      <c r="H16" s="10">
        <f>'[1]МРОТ с мая '!V40</f>
        <v>937.69200000000001</v>
      </c>
      <c r="I16" s="10">
        <v>2715.02</v>
      </c>
      <c r="J16" s="10">
        <f>[1]бюджет2019!E15</f>
        <v>2721.6898359999996</v>
      </c>
      <c r="K16" s="10">
        <v>112.8</v>
      </c>
      <c r="L16" s="10">
        <f>[1]бюджет2019!G15</f>
        <v>117.29640000000001</v>
      </c>
      <c r="M16" s="10">
        <v>23.7</v>
      </c>
      <c r="N16" s="10">
        <f>[1]бюджет2019!F15</f>
        <v>23.72</v>
      </c>
      <c r="O16" s="10">
        <v>0</v>
      </c>
      <c r="P16" s="10">
        <f>[1]бюджет2019!J15</f>
        <v>1.1909370000000001</v>
      </c>
      <c r="Q16" s="10">
        <v>0</v>
      </c>
      <c r="R16" s="10">
        <f>[1]бюджет2019!I15</f>
        <v>0</v>
      </c>
      <c r="S16" s="10">
        <v>1</v>
      </c>
      <c r="T16" s="10">
        <f>[1]бюджет2019!K15</f>
        <v>1.06</v>
      </c>
      <c r="U16" s="10">
        <v>0</v>
      </c>
      <c r="V16" s="10">
        <v>0</v>
      </c>
      <c r="W16" s="10">
        <v>600</v>
      </c>
      <c r="X16" s="10">
        <v>1302.395</v>
      </c>
      <c r="Y16" s="10">
        <v>70</v>
      </c>
      <c r="Z16" s="10">
        <v>200</v>
      </c>
      <c r="AA16" s="10">
        <v>12</v>
      </c>
      <c r="AB16" s="10">
        <v>50</v>
      </c>
      <c r="AC16" s="10">
        <v>86</v>
      </c>
      <c r="AD16" s="10">
        <v>255</v>
      </c>
      <c r="AE16" s="10">
        <v>120</v>
      </c>
      <c r="AF16" s="10">
        <v>0</v>
      </c>
      <c r="AG16" s="10">
        <v>0</v>
      </c>
      <c r="AH16" s="10">
        <v>0</v>
      </c>
      <c r="AI16" s="10">
        <v>466.20000000000005</v>
      </c>
      <c r="AJ16" s="15" t="s">
        <v>50</v>
      </c>
      <c r="AK16" s="10">
        <f>291.505+255</f>
        <v>546.505</v>
      </c>
      <c r="AL16" s="12">
        <v>466.20000000000005</v>
      </c>
      <c r="AM16" s="12"/>
      <c r="AN16" s="12"/>
      <c r="AO16" s="12"/>
      <c r="AP16" s="12"/>
      <c r="AQ16" s="12"/>
      <c r="AR16" s="13"/>
      <c r="AS16" s="15" t="s">
        <v>51</v>
      </c>
      <c r="AT16" s="7"/>
    </row>
    <row r="17" spans="1:47" s="8" customFormat="1" ht="78.75">
      <c r="A17" s="9">
        <v>3</v>
      </c>
      <c r="B17" s="14" t="s">
        <v>52</v>
      </c>
      <c r="C17" s="10">
        <f>E17+I17+K17+M17+O17+Q17+S17+U17+W17+Y17+AA17+AC17+AE17+AG17+AI17</f>
        <v>4379.1699999999992</v>
      </c>
      <c r="D17" s="10">
        <f>F17+J17+L17+N17+P17+R17+T17+V17+X17+Z17+AB17+AD17+AF17+AH17+AK17</f>
        <v>7352.680171</v>
      </c>
      <c r="E17" s="10">
        <v>3064.8999999999996</v>
      </c>
      <c r="F17" s="10">
        <f>[1]бюджет2019!D16</f>
        <v>3068.2439999999997</v>
      </c>
      <c r="G17" s="10">
        <f>'[1]МРОТ с мая '!U41</f>
        <v>63.629999999999995</v>
      </c>
      <c r="H17" s="10">
        <f>'[1]МРОТ с мая '!V41</f>
        <v>66.978000000000009</v>
      </c>
      <c r="I17" s="10">
        <v>925.67</v>
      </c>
      <c r="J17" s="10">
        <f>[1]бюджет2019!E16</f>
        <v>926.60968799999989</v>
      </c>
      <c r="K17" s="10">
        <v>67.2</v>
      </c>
      <c r="L17" s="10">
        <f>[1]бюджет2019!G16</f>
        <v>69.460000000000008</v>
      </c>
      <c r="M17" s="10">
        <v>20.7</v>
      </c>
      <c r="N17" s="10">
        <f>[1]бюджет2019!F16</f>
        <v>20.72</v>
      </c>
      <c r="O17" s="10">
        <v>3.3</v>
      </c>
      <c r="P17" s="10">
        <f>[1]бюджет2019!J16</f>
        <v>14.046483000000002</v>
      </c>
      <c r="Q17" s="10">
        <v>0</v>
      </c>
      <c r="R17" s="10">
        <f>[1]бюджет2019!I16</f>
        <v>0</v>
      </c>
      <c r="S17" s="10">
        <v>0</v>
      </c>
      <c r="T17" s="10">
        <f>[1]бюджет2019!K16</f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39.6</v>
      </c>
      <c r="AC17" s="10">
        <v>0</v>
      </c>
      <c r="AD17" s="10">
        <v>0</v>
      </c>
      <c r="AE17" s="10">
        <v>0</v>
      </c>
      <c r="AF17" s="10">
        <v>208.2</v>
      </c>
      <c r="AG17" s="10">
        <v>0</v>
      </c>
      <c r="AH17" s="10">
        <v>0</v>
      </c>
      <c r="AI17" s="10">
        <v>297.39999999999998</v>
      </c>
      <c r="AJ17" s="11" t="s">
        <v>53</v>
      </c>
      <c r="AK17" s="10">
        <v>3005.8</v>
      </c>
      <c r="AL17" s="12">
        <v>297.39999999999998</v>
      </c>
      <c r="AM17" s="12"/>
      <c r="AN17" s="12"/>
      <c r="AO17" s="12"/>
      <c r="AP17" s="12"/>
      <c r="AQ17" s="12"/>
      <c r="AR17" s="13"/>
      <c r="AS17" s="15" t="s">
        <v>54</v>
      </c>
      <c r="AT17" s="7"/>
    </row>
    <row r="18" spans="1:47" s="8" customFormat="1">
      <c r="A18" s="16"/>
      <c r="B18" s="13" t="s">
        <v>55</v>
      </c>
      <c r="C18" s="18">
        <f>C15+C16+C17</f>
        <v>94549.065000000002</v>
      </c>
      <c r="D18" s="18">
        <f t="shared" ref="D18:AK18" si="3">D15+D16+D17</f>
        <v>98149.404394029974</v>
      </c>
      <c r="E18" s="18">
        <f t="shared" si="3"/>
        <v>59105.255000000005</v>
      </c>
      <c r="F18" s="18">
        <f t="shared" si="3"/>
        <v>59328.44</v>
      </c>
      <c r="G18" s="18">
        <f t="shared" si="3"/>
        <v>8732.9740000000002</v>
      </c>
      <c r="H18" s="18">
        <f t="shared" si="3"/>
        <v>9175.985999999999</v>
      </c>
      <c r="I18" s="18">
        <f t="shared" si="3"/>
        <v>17849.909999999996</v>
      </c>
      <c r="J18" s="18">
        <f t="shared" si="3"/>
        <v>17917.188879999998</v>
      </c>
      <c r="K18" s="18">
        <f t="shared" si="3"/>
        <v>2486.4</v>
      </c>
      <c r="L18" s="18">
        <f t="shared" si="3"/>
        <v>2685.1084000000005</v>
      </c>
      <c r="M18" s="18">
        <f t="shared" si="3"/>
        <v>204.09999999999997</v>
      </c>
      <c r="N18" s="18">
        <f t="shared" si="3"/>
        <v>204.16</v>
      </c>
      <c r="O18" s="18">
        <f t="shared" si="3"/>
        <v>1320.3</v>
      </c>
      <c r="P18" s="18">
        <f t="shared" si="3"/>
        <v>1415.8187780000003</v>
      </c>
      <c r="Q18" s="18">
        <f t="shared" si="3"/>
        <v>291.3</v>
      </c>
      <c r="R18" s="18">
        <f t="shared" si="3"/>
        <v>291.34233603000001</v>
      </c>
      <c r="S18" s="18">
        <f t="shared" si="3"/>
        <v>2</v>
      </c>
      <c r="T18" s="18">
        <f t="shared" si="3"/>
        <v>2.0700000000000003</v>
      </c>
      <c r="U18" s="18">
        <f t="shared" si="3"/>
        <v>17.55</v>
      </c>
      <c r="V18" s="18">
        <f t="shared" si="3"/>
        <v>24</v>
      </c>
      <c r="W18" s="18">
        <f t="shared" si="3"/>
        <v>600</v>
      </c>
      <c r="X18" s="18">
        <f t="shared" si="3"/>
        <v>1302.395</v>
      </c>
      <c r="Y18" s="18">
        <f t="shared" si="3"/>
        <v>166</v>
      </c>
      <c r="Z18" s="18">
        <f t="shared" si="3"/>
        <v>200</v>
      </c>
      <c r="AA18" s="18">
        <f t="shared" si="3"/>
        <v>162</v>
      </c>
      <c r="AB18" s="18">
        <f t="shared" si="3"/>
        <v>152.6</v>
      </c>
      <c r="AC18" s="18">
        <f t="shared" si="3"/>
        <v>493.9</v>
      </c>
      <c r="AD18" s="18">
        <f t="shared" si="3"/>
        <v>255</v>
      </c>
      <c r="AE18" s="18">
        <f t="shared" si="3"/>
        <v>120</v>
      </c>
      <c r="AF18" s="18">
        <f t="shared" si="3"/>
        <v>208.2</v>
      </c>
      <c r="AG18" s="18">
        <f t="shared" si="3"/>
        <v>6600</v>
      </c>
      <c r="AH18" s="18">
        <f t="shared" si="3"/>
        <v>0</v>
      </c>
      <c r="AI18" s="18">
        <f t="shared" si="3"/>
        <v>5130.3500000000013</v>
      </c>
      <c r="AJ18" s="18"/>
      <c r="AK18" s="18">
        <f t="shared" si="3"/>
        <v>14163.080999999998</v>
      </c>
      <c r="AL18" s="12"/>
      <c r="AM18" s="12"/>
      <c r="AN18" s="12"/>
      <c r="AO18" s="12"/>
      <c r="AP18" s="12"/>
      <c r="AQ18" s="12"/>
      <c r="AR18" s="13"/>
      <c r="AS18" s="13"/>
      <c r="AT18" s="7"/>
    </row>
    <row r="19" spans="1:47" s="8" customFormat="1" ht="206.25" customHeight="1">
      <c r="A19" s="9">
        <v>1</v>
      </c>
      <c r="B19" s="19" t="s">
        <v>56</v>
      </c>
      <c r="C19" s="10">
        <f>E19+I19+K19+M19+O19+Q19+S19+U19+W19+Y19+AA19+AC19+AE19+AG19+AI19</f>
        <v>86108.066000000006</v>
      </c>
      <c r="D19" s="10">
        <f>F19+J19+L19+N19+P19+R19+T19+V19+X19+Z19+AB19+AD19+AF19+AH19+AK19</f>
        <v>120627.8209854</v>
      </c>
      <c r="E19" s="10">
        <f>44075.7-1591.8</f>
        <v>42483.899999999994</v>
      </c>
      <c r="F19" s="10">
        <f>[1]бюджет2019!D18</f>
        <v>43141.446399999993</v>
      </c>
      <c r="G19" s="10">
        <f>'[1]МРОТ с мая '!U43</f>
        <v>15922.564</v>
      </c>
      <c r="H19" s="10">
        <f>'[1]МРОТ с мая '!V43</f>
        <v>16744.5</v>
      </c>
      <c r="I19" s="10">
        <f>13631.36-801.2</f>
        <v>12830.16</v>
      </c>
      <c r="J19" s="10">
        <f>[1]бюджет2019!E18</f>
        <v>13028.716812799998</v>
      </c>
      <c r="K19" s="10">
        <v>2855.306</v>
      </c>
      <c r="L19" s="10">
        <f>[1]бюджет2019!G18</f>
        <v>2993.6480000000001</v>
      </c>
      <c r="M19" s="20">
        <v>0</v>
      </c>
      <c r="N19" s="10">
        <f>[1]бюджет2019!F18</f>
        <v>0</v>
      </c>
      <c r="O19" s="10">
        <v>800</v>
      </c>
      <c r="P19" s="10">
        <f>[1]бюджет2019!J18</f>
        <v>828.76466200000016</v>
      </c>
      <c r="Q19" s="21">
        <v>637.4</v>
      </c>
      <c r="R19" s="10">
        <f>[1]бюджет2019!I18</f>
        <v>637.42911060000006</v>
      </c>
      <c r="S19" s="10">
        <v>10</v>
      </c>
      <c r="T19" s="10">
        <f>[1]бюджет2019!K18</f>
        <v>34.316000000000003</v>
      </c>
      <c r="U19" s="20">
        <v>0</v>
      </c>
      <c r="V19" s="20">
        <v>0</v>
      </c>
      <c r="W19" s="20">
        <v>0</v>
      </c>
      <c r="X19" s="20">
        <v>0</v>
      </c>
      <c r="Y19" s="20">
        <f>'[1]Свод план 2018 ТЗП'!D76</f>
        <v>360</v>
      </c>
      <c r="Z19" s="20">
        <f>Y19+(Y19*0.1)</f>
        <v>396</v>
      </c>
      <c r="AA19" s="20">
        <f>'[1]Свод план 2018 ТЗП'!D26</f>
        <v>225</v>
      </c>
      <c r="AB19" s="20">
        <f>AA19+(AA19*0.1)</f>
        <v>247.5</v>
      </c>
      <c r="AC19" s="10">
        <v>9930</v>
      </c>
      <c r="AD19" s="10">
        <v>9565</v>
      </c>
      <c r="AE19" s="20">
        <f>'[1]Свод план 2018 ТЗП'!D33</f>
        <v>162</v>
      </c>
      <c r="AF19" s="20">
        <f>AE19</f>
        <v>162</v>
      </c>
      <c r="AG19" s="10">
        <v>8700</v>
      </c>
      <c r="AH19" s="10">
        <v>10000</v>
      </c>
      <c r="AI19" s="10">
        <f>7861.3-Y19-AA19-AE19</f>
        <v>7114.3</v>
      </c>
      <c r="AJ19" s="11" t="s">
        <v>57</v>
      </c>
      <c r="AK19" s="10">
        <f>40398.5-Z19-AB19-AF19</f>
        <v>39593</v>
      </c>
      <c r="AL19" s="12"/>
      <c r="AM19" s="12"/>
      <c r="AN19" s="12"/>
      <c r="AO19" s="12"/>
      <c r="AP19" s="12"/>
      <c r="AQ19" s="12"/>
      <c r="AR19" s="13"/>
      <c r="AS19" s="22" t="s">
        <v>58</v>
      </c>
      <c r="AT19" s="23"/>
      <c r="AU19" s="3"/>
    </row>
    <row r="20" spans="1:47" s="8" customFormat="1" ht="126">
      <c r="A20" s="9">
        <v>2</v>
      </c>
      <c r="B20" s="19" t="s">
        <v>59</v>
      </c>
      <c r="C20" s="10">
        <f>E20+I20+K20+M20+O20+Q20+S20+U20+W20+Y20+AA20+AC20+AE20+AG20+AI20</f>
        <v>44612.085500000008</v>
      </c>
      <c r="D20" s="10">
        <f t="shared" ref="D20:D41" si="4">F20+J20+L20+N20+P20+R20+T20+V20+X20+Z20+AB20+AD20+AF20+AH20+AK20</f>
        <v>68334.044732200011</v>
      </c>
      <c r="E20" s="10">
        <f>33679.97-1255.7</f>
        <v>32424.27</v>
      </c>
      <c r="F20" s="10">
        <f>[1]бюджет2019!D19</f>
        <v>32875.105600000003</v>
      </c>
      <c r="G20" s="10">
        <f>'[1]МРОТ с мая '!U44</f>
        <v>9679.7279999999992</v>
      </c>
      <c r="H20" s="10">
        <f>'[1]МРОТ с мая '!V44</f>
        <v>10180.656000000001</v>
      </c>
      <c r="I20" s="10">
        <f>10424.2-632</f>
        <v>9792.2000000000007</v>
      </c>
      <c r="J20" s="10">
        <f>[1]бюджет2019!E19</f>
        <v>9928.2818912000002</v>
      </c>
      <c r="K20" s="10">
        <v>1075.5155</v>
      </c>
      <c r="L20" s="10">
        <f>[1]бюджет2019!G19</f>
        <v>1272.5640000000001</v>
      </c>
      <c r="M20" s="20">
        <v>0</v>
      </c>
      <c r="N20" s="10">
        <f>[1]бюджет2019!F19</f>
        <v>0</v>
      </c>
      <c r="O20" s="10">
        <v>168.9</v>
      </c>
      <c r="P20" s="10">
        <f>[1]бюджет2019!J19</f>
        <v>145.198295</v>
      </c>
      <c r="Q20" s="21">
        <v>345.5</v>
      </c>
      <c r="R20" s="10">
        <f>[1]бюджет2019!I19</f>
        <v>345.46374599999996</v>
      </c>
      <c r="S20" s="10">
        <v>10.8</v>
      </c>
      <c r="T20" s="10">
        <f>[1]бюджет2019!K19</f>
        <v>14.5312</v>
      </c>
      <c r="U20" s="20">
        <v>0</v>
      </c>
      <c r="V20" s="20">
        <v>0</v>
      </c>
      <c r="W20" s="20">
        <v>0</v>
      </c>
      <c r="X20" s="20">
        <v>0</v>
      </c>
      <c r="Y20" s="20">
        <f>'[1]Свод план 2018 ТЗП'!E76</f>
        <v>385.8</v>
      </c>
      <c r="Z20" s="20">
        <f t="shared" ref="Z20:Z41" si="5">Y20+(Y20*0.1)</f>
        <v>424.38</v>
      </c>
      <c r="AA20" s="20">
        <f>'[1]Свод план 2018 ТЗП'!E26</f>
        <v>54</v>
      </c>
      <c r="AB20" s="20">
        <f t="shared" ref="AB20:AB41" si="6">AA20+(AA20*0.1)</f>
        <v>59.4</v>
      </c>
      <c r="AC20" s="20">
        <v>0</v>
      </c>
      <c r="AD20" s="20">
        <v>0</v>
      </c>
      <c r="AE20" s="20">
        <f>'[1]Свод план 2018 ТЗП'!E33</f>
        <v>26.9</v>
      </c>
      <c r="AF20" s="20">
        <f t="shared" ref="AF20:AF41" si="7">AE20</f>
        <v>26.9</v>
      </c>
      <c r="AG20" s="20">
        <v>0</v>
      </c>
      <c r="AH20" s="20">
        <v>14074.7</v>
      </c>
      <c r="AI20" s="10">
        <f>794.9-Y20-AA20-AE20</f>
        <v>328.2</v>
      </c>
      <c r="AJ20" s="11" t="s">
        <v>60</v>
      </c>
      <c r="AK20" s="10">
        <f>9678.2-Z20-AB20-AF20</f>
        <v>9167.5200000000023</v>
      </c>
      <c r="AL20" s="12"/>
      <c r="AM20" s="12"/>
      <c r="AN20" s="12"/>
      <c r="AO20" s="12"/>
      <c r="AP20" s="12"/>
      <c r="AQ20" s="12"/>
      <c r="AR20" s="13"/>
      <c r="AS20" s="22" t="s">
        <v>61</v>
      </c>
      <c r="AT20" s="23"/>
      <c r="AU20" s="3"/>
    </row>
    <row r="21" spans="1:47" s="8" customFormat="1" ht="126">
      <c r="A21" s="9">
        <v>3</v>
      </c>
      <c r="B21" s="19" t="s">
        <v>62</v>
      </c>
      <c r="C21" s="10">
        <f t="shared" ref="C21:C41" si="8">E21+I21+K21+M21+O21+Q21+S21+U21+W21+Y21+AA21+AC21+AE21+AG21+AI21</f>
        <v>48445.734000000011</v>
      </c>
      <c r="D21" s="10">
        <f t="shared" si="4"/>
        <v>81437.516069399993</v>
      </c>
      <c r="E21" s="10">
        <f>33479.25-1161.3</f>
        <v>32317.95</v>
      </c>
      <c r="F21" s="10">
        <f>[1]бюджет2019!D20</f>
        <v>32782.17773333333</v>
      </c>
      <c r="G21" s="10">
        <f>'[1]МРОТ с мая '!U45</f>
        <v>12866.376126984127</v>
      </c>
      <c r="H21" s="10">
        <f>'[1]МРОТ с мая '!V45</f>
        <v>13529.556</v>
      </c>
      <c r="I21" s="10">
        <f>10344.49-584.5</f>
        <v>9759.99</v>
      </c>
      <c r="J21" s="10">
        <f>[1]бюджет2019!E20</f>
        <v>9900.2176754666652</v>
      </c>
      <c r="K21" s="10">
        <v>1294.2940000000001</v>
      </c>
      <c r="L21" s="10">
        <f>[1]бюджет2019!G20</f>
        <v>1496.4680000000001</v>
      </c>
      <c r="M21" s="20">
        <v>0</v>
      </c>
      <c r="N21" s="10">
        <f>[1]бюджет2019!F20</f>
        <v>0</v>
      </c>
      <c r="O21" s="10">
        <v>2326.8000000000002</v>
      </c>
      <c r="P21" s="10">
        <f>[1]бюджет2019!J20</f>
        <v>2379.3738210000006</v>
      </c>
      <c r="Q21" s="21">
        <v>189.4</v>
      </c>
      <c r="R21" s="10">
        <f>[1]бюджет2019!I20</f>
        <v>189.37083959999998</v>
      </c>
      <c r="S21" s="10">
        <v>12.4</v>
      </c>
      <c r="T21" s="10">
        <f>[1]бюджет2019!K20</f>
        <v>16.608000000000001</v>
      </c>
      <c r="U21" s="20">
        <v>0</v>
      </c>
      <c r="V21" s="20">
        <v>0</v>
      </c>
      <c r="W21" s="20">
        <v>0</v>
      </c>
      <c r="X21" s="20">
        <v>0</v>
      </c>
      <c r="Y21" s="20">
        <f>'[1]Свод план 2018 ТЗП'!F76</f>
        <v>247</v>
      </c>
      <c r="Z21" s="20">
        <f t="shared" si="5"/>
        <v>271.7</v>
      </c>
      <c r="AA21" s="20">
        <f>'[1]Свод план 2018 ТЗП'!F26</f>
        <v>0</v>
      </c>
      <c r="AB21" s="20">
        <f t="shared" si="6"/>
        <v>0</v>
      </c>
      <c r="AC21" s="20">
        <v>150</v>
      </c>
      <c r="AD21" s="20">
        <v>8000</v>
      </c>
      <c r="AE21" s="20">
        <f>'[1]Свод план 2018 ТЗП'!F33</f>
        <v>18</v>
      </c>
      <c r="AF21" s="20">
        <f t="shared" si="7"/>
        <v>18</v>
      </c>
      <c r="AG21" s="10">
        <v>1600</v>
      </c>
      <c r="AH21" s="10">
        <v>2000</v>
      </c>
      <c r="AI21" s="10">
        <f>794.9-Y21-AE21</f>
        <v>529.9</v>
      </c>
      <c r="AJ21" s="11" t="s">
        <v>60</v>
      </c>
      <c r="AK21" s="10">
        <f>24673.3-Z21-AF21</f>
        <v>24383.599999999999</v>
      </c>
      <c r="AL21" s="12"/>
      <c r="AM21" s="12"/>
      <c r="AN21" s="12"/>
      <c r="AO21" s="12"/>
      <c r="AP21" s="12"/>
      <c r="AQ21" s="12"/>
      <c r="AR21" s="13"/>
      <c r="AS21" s="22" t="s">
        <v>63</v>
      </c>
      <c r="AT21" s="23"/>
      <c r="AU21" s="3"/>
    </row>
    <row r="22" spans="1:47" s="8" customFormat="1" ht="126">
      <c r="A22" s="9">
        <v>4</v>
      </c>
      <c r="B22" s="19" t="s">
        <v>64</v>
      </c>
      <c r="C22" s="10">
        <f t="shared" si="8"/>
        <v>41579.351999999992</v>
      </c>
      <c r="D22" s="10">
        <f t="shared" si="4"/>
        <v>50722.624017999988</v>
      </c>
      <c r="E22" s="10">
        <f>29996.3-1017.7</f>
        <v>28978.6</v>
      </c>
      <c r="F22" s="10">
        <f>[1]бюджет2019!D21</f>
        <v>28978.6</v>
      </c>
      <c r="G22" s="10">
        <f>'[1]МРОТ с мая '!U46</f>
        <v>5599.4400000000005</v>
      </c>
      <c r="H22" s="10">
        <f>'[1]МРОТ с мая '!V46</f>
        <v>5894.0640000000003</v>
      </c>
      <c r="I22" s="10">
        <f>9263.8-512</f>
        <v>8751.7999999999993</v>
      </c>
      <c r="J22" s="10">
        <f>[1]бюджет2019!E21</f>
        <v>8751.5371999999988</v>
      </c>
      <c r="K22" s="10">
        <v>709.55200000000002</v>
      </c>
      <c r="L22" s="10">
        <f>[1]бюджет2019!G21</f>
        <v>740.46</v>
      </c>
      <c r="M22" s="20">
        <v>0</v>
      </c>
      <c r="N22" s="10">
        <f>[1]бюджет2019!F21</f>
        <v>0</v>
      </c>
      <c r="O22" s="10">
        <v>1293</v>
      </c>
      <c r="P22" s="10">
        <f>[1]бюджет2019!J21</f>
        <v>4936.008253</v>
      </c>
      <c r="Q22" s="21">
        <v>266.5</v>
      </c>
      <c r="R22" s="10">
        <f>[1]бюджет2019!I21</f>
        <v>266.54656499999999</v>
      </c>
      <c r="S22" s="10">
        <v>10.199999999999999</v>
      </c>
      <c r="T22" s="10">
        <f>[1]бюджет2019!K21</f>
        <v>12.172000000000001</v>
      </c>
      <c r="U22" s="20">
        <v>0</v>
      </c>
      <c r="V22" s="20">
        <v>0</v>
      </c>
      <c r="W22" s="20">
        <v>0</v>
      </c>
      <c r="X22" s="20">
        <v>0</v>
      </c>
      <c r="Y22" s="20">
        <f>'[1]Свод план 2018 ТЗП'!G76</f>
        <v>290.73500000000001</v>
      </c>
      <c r="Z22" s="20">
        <f t="shared" si="5"/>
        <v>319.80850000000004</v>
      </c>
      <c r="AA22" s="20">
        <f>'[1]Свод план 2018 ТЗП'!G26</f>
        <v>10</v>
      </c>
      <c r="AB22" s="20">
        <f t="shared" si="6"/>
        <v>11</v>
      </c>
      <c r="AC22" s="20">
        <v>0</v>
      </c>
      <c r="AD22" s="20">
        <v>0</v>
      </c>
      <c r="AE22" s="20">
        <f>'[1]Свод план 2018 ТЗП'!G33</f>
        <v>10.416</v>
      </c>
      <c r="AF22" s="20">
        <f t="shared" si="7"/>
        <v>10.416</v>
      </c>
      <c r="AG22" s="20">
        <v>0</v>
      </c>
      <c r="AH22" s="20">
        <v>0</v>
      </c>
      <c r="AI22" s="10">
        <f>1569.7-Y22-AA22-AE22</f>
        <v>1258.5490000000002</v>
      </c>
      <c r="AJ22" s="11" t="s">
        <v>65</v>
      </c>
      <c r="AK22" s="10">
        <f>7037.3-Z22-AB22-AF22</f>
        <v>6696.0754999999999</v>
      </c>
      <c r="AL22" s="12"/>
      <c r="AM22" s="12"/>
      <c r="AN22" s="12"/>
      <c r="AO22" s="12"/>
      <c r="AP22" s="12"/>
      <c r="AQ22" s="12"/>
      <c r="AR22" s="13"/>
      <c r="AS22" s="22" t="s">
        <v>66</v>
      </c>
      <c r="AT22" s="23"/>
      <c r="AU22" s="3"/>
    </row>
    <row r="23" spans="1:47" s="8" customFormat="1" ht="94.5">
      <c r="A23" s="9">
        <v>5</v>
      </c>
      <c r="B23" s="19" t="s">
        <v>67</v>
      </c>
      <c r="C23" s="10">
        <f t="shared" si="8"/>
        <v>27317.794299999998</v>
      </c>
      <c r="D23" s="10">
        <f t="shared" si="4"/>
        <v>36592.13656649999</v>
      </c>
      <c r="E23" s="10">
        <f>20883.02-734.9</f>
        <v>20148.12</v>
      </c>
      <c r="F23" s="10">
        <f>[1]бюджет2019!D22</f>
        <v>20376.486353302607</v>
      </c>
      <c r="G23" s="10">
        <f>'[1]МРОТ с мая '!U47</f>
        <v>4460.0978822324632</v>
      </c>
      <c r="H23" s="10">
        <f>'[1]МРОТ с мая '!V47</f>
        <v>4688.46</v>
      </c>
      <c r="I23" s="10">
        <f>6454.63-369.9</f>
        <v>6084.7300000000005</v>
      </c>
      <c r="J23" s="10">
        <f>[1]бюджет2019!E22</f>
        <v>6153.698878697387</v>
      </c>
      <c r="K23" s="10">
        <v>618.84430000000009</v>
      </c>
      <c r="L23" s="10">
        <f>[1]бюджет2019!G22</f>
        <v>726.10799999999995</v>
      </c>
      <c r="M23" s="20">
        <v>0</v>
      </c>
      <c r="N23" s="10">
        <f>[1]бюджет2019!F22</f>
        <v>0</v>
      </c>
      <c r="O23" s="10">
        <v>28.8</v>
      </c>
      <c r="P23" s="10">
        <f>[1]бюджет2019!J22</f>
        <v>162.74500000000003</v>
      </c>
      <c r="Q23" s="21">
        <v>220.1</v>
      </c>
      <c r="R23" s="10">
        <f>[1]бюджет2019!I22</f>
        <v>220.11633449999999</v>
      </c>
      <c r="S23" s="10">
        <v>7.3</v>
      </c>
      <c r="T23" s="10">
        <f>[1]бюджет2019!K22</f>
        <v>1.982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f t="shared" si="5"/>
        <v>0</v>
      </c>
      <c r="AA23" s="20">
        <v>0</v>
      </c>
      <c r="AB23" s="20">
        <f t="shared" si="6"/>
        <v>0</v>
      </c>
      <c r="AC23" s="20">
        <v>0</v>
      </c>
      <c r="AD23" s="20">
        <v>0</v>
      </c>
      <c r="AE23" s="20">
        <f>'[1]Свод план 2018 ТЗП'!H33</f>
        <v>0</v>
      </c>
      <c r="AF23" s="20">
        <f t="shared" si="7"/>
        <v>0</v>
      </c>
      <c r="AG23" s="20">
        <v>0</v>
      </c>
      <c r="AH23" s="20">
        <v>0</v>
      </c>
      <c r="AI23" s="10">
        <f>209.9</f>
        <v>209.9</v>
      </c>
      <c r="AJ23" s="11" t="s">
        <v>68</v>
      </c>
      <c r="AK23" s="10">
        <f>8951</f>
        <v>8951</v>
      </c>
      <c r="AL23" s="12"/>
      <c r="AM23" s="12"/>
      <c r="AN23" s="12"/>
      <c r="AO23" s="12"/>
      <c r="AP23" s="12"/>
      <c r="AQ23" s="12"/>
      <c r="AR23" s="13"/>
      <c r="AS23" s="22" t="s">
        <v>69</v>
      </c>
      <c r="AT23" s="23"/>
      <c r="AU23" s="3"/>
    </row>
    <row r="24" spans="1:47" s="8" customFormat="1" ht="126">
      <c r="A24" s="9">
        <v>6</v>
      </c>
      <c r="B24" s="19" t="s">
        <v>70</v>
      </c>
      <c r="C24" s="10">
        <f t="shared" si="8"/>
        <v>27212.209999999995</v>
      </c>
      <c r="D24" s="10">
        <f t="shared" si="4"/>
        <v>34013.853974000005</v>
      </c>
      <c r="E24" s="10">
        <f>21182.41-862.7</f>
        <v>20319.71</v>
      </c>
      <c r="F24" s="10">
        <f>[1]бюджет2019!D23</f>
        <v>20599.010168970814</v>
      </c>
      <c r="G24" s="10">
        <f>'[1]МРОТ с мая '!U48</f>
        <v>5480.8046103430624</v>
      </c>
      <c r="H24" s="10">
        <f>'[1]МРОТ с мая '!V48</f>
        <v>5760.1080000000002</v>
      </c>
      <c r="I24" s="10">
        <f>6570.8-434.2</f>
        <v>6136.6</v>
      </c>
      <c r="J24" s="10">
        <f>[1]бюджет2019!E23</f>
        <v>6220.9010710291859</v>
      </c>
      <c r="K24" s="10">
        <v>0</v>
      </c>
      <c r="L24" s="10">
        <f>[1]бюджет2019!G23</f>
        <v>0</v>
      </c>
      <c r="M24" s="20">
        <v>0</v>
      </c>
      <c r="N24" s="10">
        <f>[1]бюджет2019!F23</f>
        <v>0</v>
      </c>
      <c r="O24" s="10">
        <v>33.700000000000003</v>
      </c>
      <c r="P24" s="10">
        <f>[1]бюджет2019!J23</f>
        <v>15.694734000000002</v>
      </c>
      <c r="Q24" s="21">
        <v>0</v>
      </c>
      <c r="R24" s="10">
        <f>[1]бюджет2019!I23</f>
        <v>0</v>
      </c>
      <c r="S24" s="10">
        <v>7.3</v>
      </c>
      <c r="T24" s="10">
        <f>[1]бюджет2019!K23</f>
        <v>10.448</v>
      </c>
      <c r="U24" s="20">
        <v>0</v>
      </c>
      <c r="V24" s="20">
        <v>0</v>
      </c>
      <c r="W24" s="20">
        <v>0</v>
      </c>
      <c r="X24" s="20">
        <v>0</v>
      </c>
      <c r="Y24" s="20">
        <f>'[1]Свод план 2018 ТЗП'!I76</f>
        <v>247.995</v>
      </c>
      <c r="Z24" s="20">
        <f t="shared" si="5"/>
        <v>272.79450000000003</v>
      </c>
      <c r="AA24" s="20">
        <f>'[1]Свод план 2018 ТЗП'!I26</f>
        <v>194</v>
      </c>
      <c r="AB24" s="20">
        <f t="shared" si="6"/>
        <v>213.4</v>
      </c>
      <c r="AC24" s="20">
        <v>0</v>
      </c>
      <c r="AD24" s="20">
        <v>0</v>
      </c>
      <c r="AE24" s="20">
        <f>'[1]Свод план 2018 ТЗП'!I33</f>
        <v>0</v>
      </c>
      <c r="AF24" s="20">
        <f t="shared" si="7"/>
        <v>0</v>
      </c>
      <c r="AG24" s="20">
        <v>0</v>
      </c>
      <c r="AH24" s="20">
        <v>0</v>
      </c>
      <c r="AI24" s="10">
        <f>714.9-Y24-AA24</f>
        <v>272.90499999999997</v>
      </c>
      <c r="AJ24" s="11" t="s">
        <v>71</v>
      </c>
      <c r="AK24" s="10">
        <f>7167.8-Z24-AB24</f>
        <v>6681.6055000000006</v>
      </c>
      <c r="AL24" s="12"/>
      <c r="AM24" s="12"/>
      <c r="AN24" s="12"/>
      <c r="AO24" s="12"/>
      <c r="AP24" s="12"/>
      <c r="AQ24" s="12"/>
      <c r="AR24" s="13"/>
      <c r="AS24" s="22" t="s">
        <v>72</v>
      </c>
      <c r="AT24" s="23"/>
      <c r="AU24" s="3"/>
    </row>
    <row r="25" spans="1:47" s="8" customFormat="1" ht="94.5">
      <c r="A25" s="9">
        <v>7</v>
      </c>
      <c r="B25" s="19" t="s">
        <v>73</v>
      </c>
      <c r="C25" s="10">
        <f t="shared" si="8"/>
        <v>30536.687000000005</v>
      </c>
      <c r="D25" s="10">
        <f t="shared" si="4"/>
        <v>46350.474108800001</v>
      </c>
      <c r="E25" s="10">
        <f>21182.41-843.2</f>
        <v>20339.21</v>
      </c>
      <c r="F25" s="10">
        <f>[1]бюджет2019!D24</f>
        <v>22142.608549923196</v>
      </c>
      <c r="G25" s="10">
        <f>'[1]МРОТ с мая '!U49</f>
        <v>7142.7969667178704</v>
      </c>
      <c r="H25" s="10">
        <f>'[1]МРОТ с мая '!V49</f>
        <v>7501.5360000000001</v>
      </c>
      <c r="I25" s="10">
        <f>7057.34-424.4</f>
        <v>6632.9400000000005</v>
      </c>
      <c r="J25" s="10">
        <f>[1]бюджет2019!E24</f>
        <v>6687.0677820768051</v>
      </c>
      <c r="K25" s="10">
        <v>647.23699999999997</v>
      </c>
      <c r="L25" s="10">
        <f>[1]бюджет2019!G24</f>
        <v>676.89599999999996</v>
      </c>
      <c r="M25" s="20">
        <v>0</v>
      </c>
      <c r="N25" s="10">
        <f>[1]бюджет2019!F24</f>
        <v>0</v>
      </c>
      <c r="O25" s="10">
        <v>856.8</v>
      </c>
      <c r="P25" s="10">
        <f>[1]бюджет2019!J24</f>
        <v>881.63902200000007</v>
      </c>
      <c r="Q25" s="21">
        <v>163.69999999999999</v>
      </c>
      <c r="R25" s="10">
        <f>[1]бюджет2019!I24</f>
        <v>163.70355479999998</v>
      </c>
      <c r="S25" s="10">
        <v>7.9</v>
      </c>
      <c r="T25" s="10">
        <f>[1]бюджет2019!K24</f>
        <v>9.9592000000000009</v>
      </c>
      <c r="U25" s="20">
        <v>0</v>
      </c>
      <c r="V25" s="20">
        <v>0</v>
      </c>
      <c r="W25" s="20">
        <v>0</v>
      </c>
      <c r="X25" s="20">
        <v>0</v>
      </c>
      <c r="Y25" s="20">
        <f>'[1]Свод план 2018 ТЗП'!J76</f>
        <v>554</v>
      </c>
      <c r="Z25" s="20">
        <f t="shared" si="5"/>
        <v>609.4</v>
      </c>
      <c r="AA25" s="20">
        <f>'[1]Свод план 2018 ТЗП'!J26</f>
        <v>0</v>
      </c>
      <c r="AB25" s="20">
        <f t="shared" si="6"/>
        <v>0</v>
      </c>
      <c r="AC25" s="20">
        <v>0</v>
      </c>
      <c r="AD25" s="20">
        <v>8340</v>
      </c>
      <c r="AE25" s="20">
        <f>'[1]Свод план 2018 ТЗП'!J33</f>
        <v>27</v>
      </c>
      <c r="AF25" s="20">
        <f t="shared" si="7"/>
        <v>27</v>
      </c>
      <c r="AG25" s="20">
        <v>0</v>
      </c>
      <c r="AH25" s="20">
        <v>0</v>
      </c>
      <c r="AI25" s="10">
        <f>1888.9-Y25-AE25</f>
        <v>1307.9000000000001</v>
      </c>
      <c r="AJ25" s="11" t="s">
        <v>74</v>
      </c>
      <c r="AK25" s="10">
        <f>7448.6-Z25-AF25</f>
        <v>6812.2000000000007</v>
      </c>
      <c r="AL25" s="12"/>
      <c r="AM25" s="12"/>
      <c r="AN25" s="12"/>
      <c r="AO25" s="12"/>
      <c r="AP25" s="12"/>
      <c r="AQ25" s="12"/>
      <c r="AR25" s="13"/>
      <c r="AS25" s="22" t="s">
        <v>75</v>
      </c>
      <c r="AT25" s="23"/>
      <c r="AU25" s="3"/>
    </row>
    <row r="26" spans="1:47" s="8" customFormat="1" ht="157.5">
      <c r="A26" s="9">
        <v>8</v>
      </c>
      <c r="B26" s="19" t="s">
        <v>76</v>
      </c>
      <c r="C26" s="10">
        <f t="shared" si="8"/>
        <v>92798.209999999977</v>
      </c>
      <c r="D26" s="10">
        <f t="shared" si="4"/>
        <v>101767.369183</v>
      </c>
      <c r="E26" s="10">
        <f>71567.78-2900.6</f>
        <v>68667.179999999993</v>
      </c>
      <c r="F26" s="10">
        <f>[1]бюджет2019!D25</f>
        <v>68881.87</v>
      </c>
      <c r="G26" s="10">
        <f>'[1]МРОТ с мая '!U50</f>
        <v>8545.6719999999987</v>
      </c>
      <c r="H26" s="10">
        <f>'[1]МРОТ с мая '!V50</f>
        <v>8975.0519999999997</v>
      </c>
      <c r="I26" s="10">
        <f>22197.47-1459.94</f>
        <v>20737.530000000002</v>
      </c>
      <c r="J26" s="10">
        <f>[1]бюджет2019!E25</f>
        <v>20802.324739999996</v>
      </c>
      <c r="K26" s="10">
        <v>0</v>
      </c>
      <c r="L26" s="10">
        <f>[1]бюджет2019!G25</f>
        <v>0</v>
      </c>
      <c r="M26" s="20">
        <v>0</v>
      </c>
      <c r="N26" s="10">
        <f>[1]бюджет2019!F25</f>
        <v>0</v>
      </c>
      <c r="O26" s="10">
        <v>13.4</v>
      </c>
      <c r="P26" s="10">
        <f>[1]бюджет2019!J25</f>
        <v>70.854443000000018</v>
      </c>
      <c r="Q26" s="21">
        <v>0</v>
      </c>
      <c r="R26" s="10">
        <f>[1]бюджет2019!I25</f>
        <v>0</v>
      </c>
      <c r="S26" s="10">
        <v>5.2</v>
      </c>
      <c r="T26" s="10">
        <f>[1]бюджет2019!K25</f>
        <v>4.32</v>
      </c>
      <c r="U26" s="20">
        <v>0</v>
      </c>
      <c r="V26" s="20">
        <v>0</v>
      </c>
      <c r="W26" s="20">
        <v>0</v>
      </c>
      <c r="X26" s="20">
        <v>0</v>
      </c>
      <c r="Y26" s="20">
        <f>'[1]Свод план 2018 ТЗП'!K76</f>
        <v>50</v>
      </c>
      <c r="Z26" s="20">
        <f t="shared" si="5"/>
        <v>55</v>
      </c>
      <c r="AA26" s="20">
        <f>'[1]Свод план 2018 ТЗП'!K26</f>
        <v>100</v>
      </c>
      <c r="AB26" s="20">
        <f t="shared" si="6"/>
        <v>110</v>
      </c>
      <c r="AC26" s="20">
        <v>0</v>
      </c>
      <c r="AD26" s="20">
        <v>0</v>
      </c>
      <c r="AE26" s="20">
        <f>'[1]Свод план 2018 ТЗП'!K33</f>
        <v>48.2</v>
      </c>
      <c r="AF26" s="20">
        <f t="shared" si="7"/>
        <v>48.2</v>
      </c>
      <c r="AG26" s="20">
        <v>0</v>
      </c>
      <c r="AH26" s="20">
        <v>0</v>
      </c>
      <c r="AI26" s="10">
        <f>3374.9-Y26-AA26-AE26</f>
        <v>3176.7000000000003</v>
      </c>
      <c r="AJ26" s="11" t="s">
        <v>77</v>
      </c>
      <c r="AK26" s="10">
        <f>12008-Z26-AB26-AF26</f>
        <v>11794.8</v>
      </c>
      <c r="AL26" s="12"/>
      <c r="AM26" s="12"/>
      <c r="AN26" s="12"/>
      <c r="AO26" s="12"/>
      <c r="AP26" s="12"/>
      <c r="AQ26" s="12"/>
      <c r="AR26" s="13"/>
      <c r="AS26" s="22" t="s">
        <v>78</v>
      </c>
      <c r="AT26" s="23"/>
      <c r="AU26" s="3"/>
    </row>
    <row r="27" spans="1:47" s="8" customFormat="1" ht="110.25">
      <c r="A27" s="9">
        <v>9</v>
      </c>
      <c r="B27" s="24" t="s">
        <v>79</v>
      </c>
      <c r="C27" s="10">
        <f t="shared" si="8"/>
        <v>20010.090000000004</v>
      </c>
      <c r="D27" s="10">
        <f t="shared" si="4"/>
        <v>26127.524802999997</v>
      </c>
      <c r="E27" s="10">
        <f>15615.87-618.4</f>
        <v>14997.470000000001</v>
      </c>
      <c r="F27" s="10">
        <f>[1]бюджет2019!D26</f>
        <v>15191.652</v>
      </c>
      <c r="G27" s="10">
        <f>'[1]МРОТ с мая '!U51</f>
        <v>3690.54</v>
      </c>
      <c r="H27" s="10">
        <f>'[1]МРОТ с мая '!V51</f>
        <v>3884.7240000000002</v>
      </c>
      <c r="I27" s="10">
        <f>4840.49-311.25</f>
        <v>4529.24</v>
      </c>
      <c r="J27" s="10">
        <f>[1]бюджет2019!E26</f>
        <v>4587.8789040000001</v>
      </c>
      <c r="K27" s="10">
        <v>198.08</v>
      </c>
      <c r="L27" s="10">
        <f>[1]бюджет2019!G26</f>
        <v>204.12</v>
      </c>
      <c r="M27" s="20">
        <v>0</v>
      </c>
      <c r="N27" s="10">
        <f>[1]бюджет2019!F26</f>
        <v>0</v>
      </c>
      <c r="O27" s="10">
        <v>35</v>
      </c>
      <c r="P27" s="10">
        <f>[1]бюджет2019!J26</f>
        <v>36.250654000000004</v>
      </c>
      <c r="Q27" s="21">
        <v>59.2</v>
      </c>
      <c r="R27" s="10">
        <f>[1]бюджет2019!I26</f>
        <v>59.203244999999995</v>
      </c>
      <c r="S27" s="10">
        <v>6.2</v>
      </c>
      <c r="T27" s="10">
        <f>[1]бюджет2019!K26</f>
        <v>7.42</v>
      </c>
      <c r="U27" s="20">
        <v>0</v>
      </c>
      <c r="V27" s="20">
        <v>0</v>
      </c>
      <c r="W27" s="20">
        <v>0</v>
      </c>
      <c r="X27" s="20">
        <v>0</v>
      </c>
      <c r="Y27" s="20">
        <f>'[1]Свод план 2018 ТЗП'!L76</f>
        <v>50</v>
      </c>
      <c r="Z27" s="20">
        <f t="shared" si="5"/>
        <v>55</v>
      </c>
      <c r="AA27" s="20">
        <f>'[1]Свод план 2018 ТЗП'!L26</f>
        <v>0</v>
      </c>
      <c r="AB27" s="20">
        <f t="shared" si="6"/>
        <v>0</v>
      </c>
      <c r="AC27" s="20">
        <v>0</v>
      </c>
      <c r="AD27" s="20">
        <v>0</v>
      </c>
      <c r="AE27" s="20">
        <f>'[1]Свод план 2018 ТЗП'!L33</f>
        <v>0</v>
      </c>
      <c r="AF27" s="20">
        <f t="shared" si="7"/>
        <v>0</v>
      </c>
      <c r="AG27" s="20">
        <v>0</v>
      </c>
      <c r="AH27" s="20">
        <v>0</v>
      </c>
      <c r="AI27" s="10">
        <f>184.9-Y27</f>
        <v>134.9</v>
      </c>
      <c r="AJ27" s="11" t="s">
        <v>80</v>
      </c>
      <c r="AK27" s="10">
        <f>6041-Z27</f>
        <v>5986</v>
      </c>
      <c r="AL27" s="12"/>
      <c r="AM27" s="12"/>
      <c r="AN27" s="12"/>
      <c r="AO27" s="12"/>
      <c r="AP27" s="12"/>
      <c r="AQ27" s="12"/>
      <c r="AR27" s="13"/>
      <c r="AS27" s="22" t="s">
        <v>81</v>
      </c>
      <c r="AT27" s="23"/>
      <c r="AU27" s="3"/>
    </row>
    <row r="28" spans="1:47" s="8" customFormat="1" ht="126">
      <c r="A28" s="9">
        <v>10</v>
      </c>
      <c r="B28" s="19" t="s">
        <v>82</v>
      </c>
      <c r="C28" s="10">
        <f t="shared" si="8"/>
        <v>14456.419999999998</v>
      </c>
      <c r="D28" s="10">
        <f t="shared" si="4"/>
        <v>18439.682839599998</v>
      </c>
      <c r="E28" s="10">
        <f>11199.82-380.1</f>
        <v>10819.72</v>
      </c>
      <c r="F28" s="10">
        <f>[1]бюджет2019!D27</f>
        <v>11087.434799999999</v>
      </c>
      <c r="G28" s="10">
        <f>'[1]МРОТ с мая '!U52</f>
        <v>2741.1000000000004</v>
      </c>
      <c r="H28" s="10">
        <f>'[1]МРОТ с мая '!V52</f>
        <v>2947.0320000000002</v>
      </c>
      <c r="I28" s="10">
        <f>3458.9-191.3</f>
        <v>3267.6</v>
      </c>
      <c r="J28" s="10">
        <f>[1]бюджет2019!E27</f>
        <v>3348.4053095999998</v>
      </c>
      <c r="K28" s="10">
        <v>0</v>
      </c>
      <c r="L28" s="10">
        <f>[1]бюджет2019!G27</f>
        <v>0</v>
      </c>
      <c r="M28" s="20">
        <v>0</v>
      </c>
      <c r="N28" s="10">
        <f>[1]бюджет2019!F27</f>
        <v>0</v>
      </c>
      <c r="O28" s="10">
        <v>7.8</v>
      </c>
      <c r="P28" s="10">
        <f>[1]бюджет2019!J27</f>
        <v>3.5027300000000006</v>
      </c>
      <c r="Q28" s="21">
        <v>0</v>
      </c>
      <c r="R28" s="10">
        <f>[1]бюджет2019!I27</f>
        <v>0</v>
      </c>
      <c r="S28" s="10">
        <v>6.4</v>
      </c>
      <c r="T28" s="10">
        <f>[1]бюджет2019!K27</f>
        <v>10.34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f t="shared" si="5"/>
        <v>0</v>
      </c>
      <c r="AA28" s="20">
        <f>'[1]Свод план 2018 ТЗП'!M26</f>
        <v>4</v>
      </c>
      <c r="AB28" s="20">
        <f t="shared" si="6"/>
        <v>4.4000000000000004</v>
      </c>
      <c r="AC28" s="20">
        <v>0</v>
      </c>
      <c r="AD28" s="20">
        <v>0</v>
      </c>
      <c r="AE28" s="20">
        <v>0</v>
      </c>
      <c r="AF28" s="20">
        <f t="shared" si="7"/>
        <v>0</v>
      </c>
      <c r="AG28" s="20">
        <v>0</v>
      </c>
      <c r="AH28" s="20">
        <v>0</v>
      </c>
      <c r="AI28" s="10">
        <f>354.9-AA28</f>
        <v>350.9</v>
      </c>
      <c r="AJ28" s="11" t="s">
        <v>83</v>
      </c>
      <c r="AK28" s="10">
        <f>3990-AB28</f>
        <v>3985.6</v>
      </c>
      <c r="AL28" s="12"/>
      <c r="AM28" s="12"/>
      <c r="AN28" s="12"/>
      <c r="AO28" s="12"/>
      <c r="AP28" s="12"/>
      <c r="AQ28" s="12"/>
      <c r="AR28" s="13"/>
      <c r="AS28" s="22" t="s">
        <v>84</v>
      </c>
      <c r="AT28" s="23"/>
      <c r="AU28" s="3"/>
    </row>
    <row r="29" spans="1:47" s="8" customFormat="1" ht="126">
      <c r="A29" s="9">
        <v>11</v>
      </c>
      <c r="B29" s="19" t="s">
        <v>85</v>
      </c>
      <c r="C29" s="10">
        <f t="shared" si="8"/>
        <v>14924.305000000002</v>
      </c>
      <c r="D29" s="10">
        <f t="shared" si="4"/>
        <v>20261.536548749998</v>
      </c>
      <c r="E29" s="10">
        <f>11255.54-393.7</f>
        <v>10861.84</v>
      </c>
      <c r="F29" s="10">
        <f>[1]бюджет2019!D28</f>
        <v>11062.714055299539</v>
      </c>
      <c r="G29" s="10">
        <f>'[1]МРОТ с мая '!U53</f>
        <v>3057.444</v>
      </c>
      <c r="H29" s="10">
        <f>'[1]МРОТ с мая '!V53</f>
        <v>3214.9440000000004</v>
      </c>
      <c r="I29" s="10">
        <f>3626.73-198.15</f>
        <v>3428.58</v>
      </c>
      <c r="J29" s="10">
        <f>[1]бюджет2019!E28</f>
        <v>3340.9396447004606</v>
      </c>
      <c r="K29" s="10">
        <v>209.48500000000001</v>
      </c>
      <c r="L29" s="10">
        <f>[1]бюджет2019!G28</f>
        <v>331.76</v>
      </c>
      <c r="M29" s="20">
        <v>0</v>
      </c>
      <c r="N29" s="10">
        <f>[1]бюджет2019!F28</f>
        <v>0</v>
      </c>
      <c r="O29" s="10">
        <v>7.2</v>
      </c>
      <c r="P29" s="10">
        <f>[1]бюджет2019!J28</f>
        <v>30.428365000000003</v>
      </c>
      <c r="Q29" s="21">
        <v>51.1</v>
      </c>
      <c r="R29" s="10">
        <f>[1]бюджет2019!I28</f>
        <v>51.054483750000003</v>
      </c>
      <c r="S29" s="10">
        <v>6.2</v>
      </c>
      <c r="T29" s="10">
        <f>[1]бюджет2019!K28</f>
        <v>6.64</v>
      </c>
      <c r="U29" s="20">
        <v>0</v>
      </c>
      <c r="V29" s="20">
        <v>0</v>
      </c>
      <c r="W29" s="20">
        <v>0</v>
      </c>
      <c r="X29" s="20">
        <v>0</v>
      </c>
      <c r="Y29" s="20">
        <f>'[1]Свод план 2018 ТЗП'!N76</f>
        <v>70</v>
      </c>
      <c r="Z29" s="20">
        <f t="shared" si="5"/>
        <v>77</v>
      </c>
      <c r="AA29" s="20">
        <f>'[1]Свод план 2018 ТЗП'!N26</f>
        <v>0</v>
      </c>
      <c r="AB29" s="20">
        <f t="shared" si="6"/>
        <v>0</v>
      </c>
      <c r="AC29" s="20">
        <v>0</v>
      </c>
      <c r="AD29" s="20">
        <v>0</v>
      </c>
      <c r="AE29" s="20">
        <f>'[1]Свод план 2018 ТЗП'!N33</f>
        <v>8</v>
      </c>
      <c r="AF29" s="20">
        <f t="shared" si="7"/>
        <v>8</v>
      </c>
      <c r="AG29" s="20">
        <v>0</v>
      </c>
      <c r="AH29" s="20">
        <v>0</v>
      </c>
      <c r="AI29" s="10">
        <f>359.9-AE29-Y29</f>
        <v>281.89999999999998</v>
      </c>
      <c r="AJ29" s="11" t="s">
        <v>86</v>
      </c>
      <c r="AK29" s="10">
        <f>5438-Z29-AF29</f>
        <v>5353</v>
      </c>
      <c r="AL29" s="12"/>
      <c r="AM29" s="12"/>
      <c r="AN29" s="12"/>
      <c r="AO29" s="12"/>
      <c r="AP29" s="12"/>
      <c r="AQ29" s="12"/>
      <c r="AR29" s="13"/>
      <c r="AS29" s="22" t="s">
        <v>87</v>
      </c>
      <c r="AT29" s="23"/>
      <c r="AU29" s="3"/>
    </row>
    <row r="30" spans="1:47" s="8" customFormat="1" ht="126">
      <c r="A30" s="9">
        <v>12</v>
      </c>
      <c r="B30" s="19" t="s">
        <v>88</v>
      </c>
      <c r="C30" s="10">
        <f t="shared" si="8"/>
        <v>18101.132000000001</v>
      </c>
      <c r="D30" s="10">
        <f t="shared" si="4"/>
        <v>16924.206529759998</v>
      </c>
      <c r="E30" s="10">
        <f>5932.44-208.4</f>
        <v>5724.04</v>
      </c>
      <c r="F30" s="10">
        <f>[1]бюджет2019!D29</f>
        <v>5770.9160000000002</v>
      </c>
      <c r="G30" s="10">
        <f>'[1]МРОТ с мая '!U54</f>
        <v>890.82000000000016</v>
      </c>
      <c r="H30" s="10">
        <f>'[1]МРОТ с мая '!V54</f>
        <v>937.69200000000001</v>
      </c>
      <c r="I30" s="10">
        <f>1833.51-104.89</f>
        <v>1728.62</v>
      </c>
      <c r="J30" s="10">
        <f>[1]бюджет2019!E29</f>
        <v>1742.816632</v>
      </c>
      <c r="K30" s="10">
        <v>306.47199999999998</v>
      </c>
      <c r="L30" s="10">
        <f>[1]бюджет2019!G29</f>
        <v>320.52800000000002</v>
      </c>
      <c r="M30" s="20">
        <v>0</v>
      </c>
      <c r="N30" s="10">
        <f>[1]бюджет2019!F29</f>
        <v>0</v>
      </c>
      <c r="O30" s="10">
        <v>0</v>
      </c>
      <c r="P30" s="10">
        <f>[1]бюджет2019!J29</f>
        <v>58.784352000000005</v>
      </c>
      <c r="Q30" s="21">
        <v>81.099999999999994</v>
      </c>
      <c r="R30" s="10">
        <f>[1]бюджет2019!I29</f>
        <v>81.061545759999987</v>
      </c>
      <c r="S30" s="10">
        <v>0</v>
      </c>
      <c r="T30" s="10">
        <f>[1]бюджет2019!K29</f>
        <v>0</v>
      </c>
      <c r="U30" s="20">
        <v>0</v>
      </c>
      <c r="V30" s="20">
        <v>0</v>
      </c>
      <c r="W30" s="20">
        <v>0</v>
      </c>
      <c r="X30" s="20">
        <v>0</v>
      </c>
      <c r="Y30" s="20">
        <f>'[1]Свод план 2018 ТЗП'!O76</f>
        <v>0</v>
      </c>
      <c r="Z30" s="20">
        <f t="shared" si="5"/>
        <v>0</v>
      </c>
      <c r="AA30" s="20">
        <f>'[1]Свод план 2018 ТЗП'!O26</f>
        <v>0</v>
      </c>
      <c r="AB30" s="20">
        <f t="shared" si="6"/>
        <v>0</v>
      </c>
      <c r="AC30" s="10">
        <v>2020</v>
      </c>
      <c r="AD30" s="10">
        <v>3045.4</v>
      </c>
      <c r="AE30" s="20">
        <f>'[1]Свод план 2018 ТЗП'!O33</f>
        <v>0</v>
      </c>
      <c r="AF30" s="20">
        <f t="shared" si="7"/>
        <v>0</v>
      </c>
      <c r="AG30" s="10">
        <v>7906</v>
      </c>
      <c r="AH30" s="20">
        <v>0</v>
      </c>
      <c r="AI30" s="25">
        <v>334.9</v>
      </c>
      <c r="AJ30" s="11" t="s">
        <v>89</v>
      </c>
      <c r="AK30" s="10">
        <v>5904.7</v>
      </c>
      <c r="AL30" s="12"/>
      <c r="AM30" s="12"/>
      <c r="AN30" s="12"/>
      <c r="AO30" s="12"/>
      <c r="AP30" s="12"/>
      <c r="AQ30" s="12"/>
      <c r="AR30" s="13"/>
      <c r="AS30" s="22" t="s">
        <v>90</v>
      </c>
      <c r="AT30" s="23"/>
      <c r="AU30" s="3"/>
    </row>
    <row r="31" spans="1:47" ht="157.5">
      <c r="A31" s="9">
        <v>13</v>
      </c>
      <c r="B31" s="24" t="s">
        <v>91</v>
      </c>
      <c r="C31" s="10">
        <f t="shared" si="8"/>
        <v>55017.98</v>
      </c>
      <c r="D31" s="10">
        <f t="shared" si="4"/>
        <v>65100.5124736</v>
      </c>
      <c r="E31" s="20">
        <v>37307.49</v>
      </c>
      <c r="F31" s="10">
        <f>[1]бюджет2019!D30</f>
        <v>37567.15907219662</v>
      </c>
      <c r="G31" s="10">
        <f>'[1]МРОТ с мая '!U55</f>
        <v>5098.486975934461</v>
      </c>
      <c r="H31" s="10">
        <f>'[1]МРОТ с мая '!V55</f>
        <v>5358.24</v>
      </c>
      <c r="I31" s="20">
        <v>11266.89</v>
      </c>
      <c r="J31" s="10">
        <f>[1]бюджет2019!E30</f>
        <v>11345.282039803378</v>
      </c>
      <c r="K31" s="20">
        <v>483.4</v>
      </c>
      <c r="L31" s="10">
        <f>[1]бюджет2019!G30</f>
        <v>595.08000000000004</v>
      </c>
      <c r="M31" s="20">
        <v>0</v>
      </c>
      <c r="N31" s="10">
        <f>[1]бюджет2019!F30</f>
        <v>0</v>
      </c>
      <c r="O31" s="20">
        <v>627.73</v>
      </c>
      <c r="P31" s="10">
        <f>[1]бюджет2019!J30</f>
        <v>729.72353300000009</v>
      </c>
      <c r="Q31" s="20">
        <v>136.77000000000001</v>
      </c>
      <c r="R31" s="10">
        <f>[1]бюджет2019!I30</f>
        <v>136.7678286</v>
      </c>
      <c r="S31" s="20">
        <v>8.8000000000000007</v>
      </c>
      <c r="T31" s="10">
        <f>[1]бюджет2019!K30</f>
        <v>12.8</v>
      </c>
      <c r="U31" s="20">
        <v>0</v>
      </c>
      <c r="V31" s="20">
        <v>0</v>
      </c>
      <c r="W31" s="20">
        <v>0</v>
      </c>
      <c r="X31" s="20">
        <v>0</v>
      </c>
      <c r="Y31" s="20">
        <f>'[1]Свод план 2018 ТЗП'!P76</f>
        <v>200</v>
      </c>
      <c r="Z31" s="20">
        <f t="shared" si="5"/>
        <v>220</v>
      </c>
      <c r="AA31" s="20">
        <f>'[1]Свод план 2018 ТЗП'!P26</f>
        <v>180</v>
      </c>
      <c r="AB31" s="20">
        <f t="shared" si="6"/>
        <v>198</v>
      </c>
      <c r="AC31" s="20">
        <v>2637</v>
      </c>
      <c r="AD31" s="20">
        <f>1500+1250+850+980+150+150+100+160</f>
        <v>5140</v>
      </c>
      <c r="AE31" s="20">
        <f>'[1]Свод план 2018 ТЗП'!P33</f>
        <v>26.6</v>
      </c>
      <c r="AF31" s="20">
        <f t="shared" si="7"/>
        <v>26.6</v>
      </c>
      <c r="AG31" s="20">
        <v>0</v>
      </c>
      <c r="AH31" s="20">
        <v>0</v>
      </c>
      <c r="AI31" s="20">
        <f>2549.9-Y31-AA31-AE31</f>
        <v>2143.3000000000002</v>
      </c>
      <c r="AJ31" s="26" t="s">
        <v>92</v>
      </c>
      <c r="AK31" s="20">
        <f>40+143.2+286.5+65+18+7+200+5889+160+2495-AB31-AF31+50</f>
        <v>9129.1</v>
      </c>
      <c r="AL31" s="27"/>
      <c r="AM31" s="27"/>
      <c r="AN31" s="27"/>
      <c r="AO31" s="27"/>
      <c r="AP31" s="27"/>
      <c r="AQ31" s="27"/>
      <c r="AR31" s="27"/>
      <c r="AS31" s="15" t="s">
        <v>93</v>
      </c>
      <c r="AT31" s="23"/>
    </row>
    <row r="32" spans="1:47" ht="63">
      <c r="A32" s="9">
        <v>14</v>
      </c>
      <c r="B32" s="24" t="s">
        <v>94</v>
      </c>
      <c r="C32" s="10">
        <f t="shared" si="8"/>
        <v>36735.58</v>
      </c>
      <c r="D32" s="10">
        <f t="shared" si="4"/>
        <v>42934.533967399992</v>
      </c>
      <c r="E32" s="28">
        <v>26524.66</v>
      </c>
      <c r="F32" s="10">
        <f>[1]бюджет2019!D31</f>
        <v>26606.853199999998</v>
      </c>
      <c r="G32" s="10">
        <f>'[1]МРОТ с мая '!U56</f>
        <v>5486.16</v>
      </c>
      <c r="H32" s="10">
        <f>'[1]МРОТ с мая '!V56</f>
        <v>5760.1080000000002</v>
      </c>
      <c r="I32" s="20">
        <v>8010.42</v>
      </c>
      <c r="J32" s="10">
        <f>[1]бюджет2019!E31</f>
        <v>8035.2696663999986</v>
      </c>
      <c r="K32" s="20">
        <v>722.2</v>
      </c>
      <c r="L32" s="10">
        <f>[1]бюджет2019!G31</f>
        <v>738.4</v>
      </c>
      <c r="M32" s="20">
        <v>0</v>
      </c>
      <c r="N32" s="10">
        <f>[1]бюджет2019!F31</f>
        <v>0</v>
      </c>
      <c r="O32" s="20">
        <v>675</v>
      </c>
      <c r="P32" s="10">
        <f>[1]бюджет2019!J31</f>
        <v>753.37483099999997</v>
      </c>
      <c r="Q32" s="20">
        <v>138</v>
      </c>
      <c r="R32" s="10">
        <f>[1]бюджет2019!I31</f>
        <v>138.03627</v>
      </c>
      <c r="S32" s="20">
        <v>5.4</v>
      </c>
      <c r="T32" s="10">
        <f>[1]бюджет2019!K31</f>
        <v>0</v>
      </c>
      <c r="U32" s="20">
        <v>0</v>
      </c>
      <c r="V32" s="20">
        <v>0</v>
      </c>
      <c r="W32" s="20">
        <v>0</v>
      </c>
      <c r="X32" s="20">
        <v>0</v>
      </c>
      <c r="Y32" s="20">
        <f>'[1]Свод план 2018 ТЗП'!Q76</f>
        <v>0</v>
      </c>
      <c r="Z32" s="20">
        <f t="shared" si="5"/>
        <v>0</v>
      </c>
      <c r="AA32" s="20">
        <f>'[1]Свод план 2018 ТЗП'!Q26</f>
        <v>0</v>
      </c>
      <c r="AB32" s="20">
        <f t="shared" si="6"/>
        <v>0</v>
      </c>
      <c r="AC32" s="20">
        <v>200</v>
      </c>
      <c r="AD32" s="20">
        <v>0</v>
      </c>
      <c r="AE32" s="20">
        <f>'[1]Свод план 2018 ТЗП'!Q33</f>
        <v>0</v>
      </c>
      <c r="AF32" s="20">
        <f t="shared" si="7"/>
        <v>0</v>
      </c>
      <c r="AG32" s="20">
        <v>0</v>
      </c>
      <c r="AH32" s="20">
        <v>0</v>
      </c>
      <c r="AI32" s="20">
        <f>259.9+200</f>
        <v>459.9</v>
      </c>
      <c r="AJ32" s="26" t="s">
        <v>95</v>
      </c>
      <c r="AK32" s="20">
        <v>6662.6</v>
      </c>
      <c r="AL32" s="27"/>
      <c r="AM32" s="27"/>
      <c r="AN32" s="27"/>
      <c r="AO32" s="27"/>
      <c r="AP32" s="27"/>
      <c r="AQ32" s="27"/>
      <c r="AR32" s="27"/>
      <c r="AS32" s="15" t="s">
        <v>96</v>
      </c>
      <c r="AT32" s="23"/>
    </row>
    <row r="33" spans="1:46" ht="94.5">
      <c r="A33" s="9">
        <v>15</v>
      </c>
      <c r="B33" s="24" t="s">
        <v>97</v>
      </c>
      <c r="C33" s="10">
        <f t="shared" si="8"/>
        <v>27530.06</v>
      </c>
      <c r="D33" s="10">
        <f t="shared" si="4"/>
        <v>29757.822256000003</v>
      </c>
      <c r="E33" s="20">
        <v>20523.7</v>
      </c>
      <c r="F33" s="10">
        <f>[1]бюджет2019!D32</f>
        <v>20568.856</v>
      </c>
      <c r="G33" s="10">
        <f>'[1]МРОТ с мая '!U57</f>
        <v>1785.0800000000004</v>
      </c>
      <c r="H33" s="10">
        <f>'[1]МРОТ с мая '!V57</f>
        <v>1875.384</v>
      </c>
      <c r="I33" s="20">
        <v>6198.16</v>
      </c>
      <c r="J33" s="10">
        <f>[1]бюджет2019!E32</f>
        <v>6211.7945119999995</v>
      </c>
      <c r="K33" s="20">
        <v>237.6</v>
      </c>
      <c r="L33" s="10">
        <f>[1]бюджет2019!G32</f>
        <v>363.24</v>
      </c>
      <c r="M33" s="20">
        <v>0</v>
      </c>
      <c r="N33" s="10">
        <f>[1]бюджет2019!F32</f>
        <v>0</v>
      </c>
      <c r="O33" s="20">
        <v>1.4</v>
      </c>
      <c r="P33" s="10">
        <f>[1]бюджет2019!J32</f>
        <v>26.319744000000004</v>
      </c>
      <c r="Q33" s="20">
        <v>0</v>
      </c>
      <c r="R33" s="10">
        <f>[1]бюджет2019!I32</f>
        <v>0</v>
      </c>
      <c r="S33" s="20">
        <v>9.3000000000000007</v>
      </c>
      <c r="T33" s="10">
        <f>[1]бюджет2019!K32</f>
        <v>18.111999999999998</v>
      </c>
      <c r="U33" s="20">
        <v>0</v>
      </c>
      <c r="V33" s="20">
        <v>0</v>
      </c>
      <c r="W33" s="20">
        <v>160</v>
      </c>
      <c r="X33" s="20">
        <v>160</v>
      </c>
      <c r="Y33" s="20">
        <f>'[1]Свод план 2018 ТЗП'!R76</f>
        <v>180</v>
      </c>
      <c r="Z33" s="20">
        <f t="shared" si="5"/>
        <v>198</v>
      </c>
      <c r="AA33" s="20">
        <f>'[1]Свод план 2018 ТЗП'!R26+45.2</f>
        <v>195.2</v>
      </c>
      <c r="AB33" s="20">
        <f t="shared" si="6"/>
        <v>214.72</v>
      </c>
      <c r="AC33" s="20">
        <v>0</v>
      </c>
      <c r="AD33" s="20">
        <v>0</v>
      </c>
      <c r="AE33" s="20">
        <f>'[1]Свод план 2018 ТЗП'!R33</f>
        <v>0</v>
      </c>
      <c r="AF33" s="20">
        <f t="shared" si="7"/>
        <v>0</v>
      </c>
      <c r="AG33" s="20">
        <v>0</v>
      </c>
      <c r="AH33" s="20">
        <v>0</v>
      </c>
      <c r="AI33" s="20">
        <f>199.9+154.8-Y33-150</f>
        <v>24.700000000000045</v>
      </c>
      <c r="AJ33" s="26" t="s">
        <v>98</v>
      </c>
      <c r="AK33" s="20">
        <f>199.5+2000+210-Z33-AB33</f>
        <v>1996.78</v>
      </c>
      <c r="AL33" s="27"/>
      <c r="AM33" s="27"/>
      <c r="AN33" s="27"/>
      <c r="AO33" s="27"/>
      <c r="AP33" s="27"/>
      <c r="AQ33" s="27"/>
      <c r="AR33" s="27"/>
      <c r="AS33" s="15" t="s">
        <v>99</v>
      </c>
      <c r="AT33" s="23"/>
    </row>
    <row r="34" spans="1:46" ht="63">
      <c r="A34" s="9">
        <v>16</v>
      </c>
      <c r="B34" s="24" t="s">
        <v>100</v>
      </c>
      <c r="C34" s="10">
        <f t="shared" si="8"/>
        <v>11417.15</v>
      </c>
      <c r="D34" s="10">
        <f t="shared" si="4"/>
        <v>13753.993524400001</v>
      </c>
      <c r="E34" s="20">
        <v>8277.5300000000007</v>
      </c>
      <c r="F34" s="10">
        <f>[1]бюджет2019!D33</f>
        <v>8321.3504000000012</v>
      </c>
      <c r="G34" s="10">
        <f>'[1]МРОТ с мая '!U58</f>
        <v>545.58960000000002</v>
      </c>
      <c r="H34" s="10">
        <f>'[1]МРОТ с мая '!V58</f>
        <v>589.40640000000008</v>
      </c>
      <c r="I34" s="20">
        <v>2499.8200000000002</v>
      </c>
      <c r="J34" s="10">
        <f>[1]бюджет2019!E33</f>
        <v>2513.0478208000004</v>
      </c>
      <c r="K34" s="20">
        <v>84.6</v>
      </c>
      <c r="L34" s="10">
        <f>[1]бюджет2019!G33</f>
        <v>88.6</v>
      </c>
      <c r="M34" s="20">
        <v>0</v>
      </c>
      <c r="N34" s="10">
        <f>[1]бюджет2019!F33</f>
        <v>0</v>
      </c>
      <c r="O34" s="20">
        <v>8.3000000000000007</v>
      </c>
      <c r="P34" s="10">
        <f>[1]бюджет2019!J33</f>
        <v>4.1652710000000006</v>
      </c>
      <c r="Q34" s="20">
        <v>1.6</v>
      </c>
      <c r="R34" s="10">
        <f>[1]бюджет2019!I33</f>
        <v>1.5964326000000002</v>
      </c>
      <c r="S34" s="20">
        <v>5.4</v>
      </c>
      <c r="T34" s="10">
        <f>[1]бюджет2019!K33</f>
        <v>5.7336</v>
      </c>
      <c r="U34" s="20">
        <v>0</v>
      </c>
      <c r="V34" s="20">
        <v>0</v>
      </c>
      <c r="W34" s="20">
        <v>0</v>
      </c>
      <c r="X34" s="20">
        <v>0</v>
      </c>
      <c r="Y34" s="20">
        <f>'[1]Свод план 2018 ТЗП'!S76</f>
        <v>40</v>
      </c>
      <c r="Z34" s="20">
        <f t="shared" si="5"/>
        <v>44</v>
      </c>
      <c r="AA34" s="20">
        <f>'[1]Свод план 2018 ТЗП'!S26</f>
        <v>1.6</v>
      </c>
      <c r="AB34" s="20">
        <f t="shared" si="6"/>
        <v>1.7600000000000002</v>
      </c>
      <c r="AC34" s="20">
        <v>0</v>
      </c>
      <c r="AD34" s="20">
        <v>0</v>
      </c>
      <c r="AE34" s="20">
        <f>'[1]Свод план 2018 ТЗП'!S33</f>
        <v>0</v>
      </c>
      <c r="AF34" s="20">
        <f t="shared" si="7"/>
        <v>0</v>
      </c>
      <c r="AG34" s="20">
        <v>0</v>
      </c>
      <c r="AH34" s="20">
        <v>0</v>
      </c>
      <c r="AI34" s="20">
        <f>139.9+400-AA34-Y34</f>
        <v>498.29999999999995</v>
      </c>
      <c r="AJ34" s="26" t="s">
        <v>101</v>
      </c>
      <c r="AK34" s="20">
        <f>119.5+2700-Z34-AB34</f>
        <v>2773.74</v>
      </c>
      <c r="AL34" s="27"/>
      <c r="AM34" s="27"/>
      <c r="AN34" s="27"/>
      <c r="AO34" s="27"/>
      <c r="AP34" s="27"/>
      <c r="AQ34" s="27"/>
      <c r="AR34" s="27"/>
      <c r="AS34" s="15" t="s">
        <v>102</v>
      </c>
      <c r="AT34" s="23"/>
    </row>
    <row r="35" spans="1:46" ht="110.25">
      <c r="A35" s="9">
        <v>17</v>
      </c>
      <c r="B35" s="24" t="s">
        <v>103</v>
      </c>
      <c r="C35" s="10">
        <f t="shared" si="8"/>
        <v>10837.150000000001</v>
      </c>
      <c r="D35" s="10">
        <f t="shared" si="4"/>
        <v>9534.0354799999986</v>
      </c>
      <c r="E35" s="20">
        <v>6600.65</v>
      </c>
      <c r="F35" s="10">
        <f>[1]бюджет2019!D34</f>
        <v>6658.6959999999999</v>
      </c>
      <c r="G35" s="10">
        <f>'[1]МРОТ с мая '!U59</f>
        <v>765.048</v>
      </c>
      <c r="H35" s="10">
        <f>'[1]МРОТ с мая '!V59</f>
        <v>803.7360000000001</v>
      </c>
      <c r="I35" s="20">
        <v>1993.4</v>
      </c>
      <c r="J35" s="10">
        <f>[1]бюджет2019!E34</f>
        <v>2010.9261919999999</v>
      </c>
      <c r="K35" s="20">
        <v>0</v>
      </c>
      <c r="L35" s="10">
        <f>[1]бюджет2019!G34</f>
        <v>0</v>
      </c>
      <c r="M35" s="20">
        <v>0</v>
      </c>
      <c r="N35" s="10">
        <f>[1]бюджет2019!F34</f>
        <v>0</v>
      </c>
      <c r="O35" s="20">
        <v>2</v>
      </c>
      <c r="P35" s="10">
        <f>[1]бюджет2019!J34</f>
        <v>16.513287999999999</v>
      </c>
      <c r="Q35" s="20">
        <v>0</v>
      </c>
      <c r="R35" s="10">
        <f>[1]бюджет2019!I34</f>
        <v>0</v>
      </c>
      <c r="S35" s="20">
        <v>1.2</v>
      </c>
      <c r="T35" s="10">
        <f>[1]бюджет2019!K34</f>
        <v>4.7</v>
      </c>
      <c r="U35" s="20">
        <v>0</v>
      </c>
      <c r="V35" s="20">
        <v>0</v>
      </c>
      <c r="W35" s="20">
        <v>0</v>
      </c>
      <c r="X35" s="20">
        <v>0</v>
      </c>
      <c r="Y35" s="20">
        <f>'[1]Свод план 2018 ТЗП'!T76</f>
        <v>258.77999999999997</v>
      </c>
      <c r="Z35" s="20">
        <f t="shared" si="5"/>
        <v>284.65799999999996</v>
      </c>
      <c r="AA35" s="20">
        <f>'[1]Свод план 2018 ТЗП'!T26</f>
        <v>20</v>
      </c>
      <c r="AB35" s="20">
        <f t="shared" si="6"/>
        <v>22</v>
      </c>
      <c r="AC35" s="20">
        <v>0</v>
      </c>
      <c r="AD35" s="20">
        <v>0</v>
      </c>
      <c r="AE35" s="20">
        <f>'[1]Свод план 2018 ТЗП'!T33</f>
        <v>5</v>
      </c>
      <c r="AF35" s="20">
        <f t="shared" si="7"/>
        <v>5</v>
      </c>
      <c r="AG35" s="20">
        <v>0</v>
      </c>
      <c r="AH35" s="20">
        <v>0</v>
      </c>
      <c r="AI35" s="20">
        <f>139.9+2100-AE35-AA35-Y35</f>
        <v>1956.1200000000001</v>
      </c>
      <c r="AJ35" s="26" t="s">
        <v>104</v>
      </c>
      <c r="AK35" s="20">
        <f>94+749.2-Z35-AB35-AF35</f>
        <v>531.54200000000014</v>
      </c>
      <c r="AL35" s="27"/>
      <c r="AM35" s="27"/>
      <c r="AN35" s="27"/>
      <c r="AO35" s="27"/>
      <c r="AP35" s="27"/>
      <c r="AQ35" s="27"/>
      <c r="AR35" s="27"/>
      <c r="AS35" s="15" t="s">
        <v>105</v>
      </c>
      <c r="AT35" s="23"/>
    </row>
    <row r="36" spans="1:46" ht="78.75">
      <c r="A36" s="9">
        <v>18</v>
      </c>
      <c r="B36" s="24" t="s">
        <v>106</v>
      </c>
      <c r="C36" s="10">
        <f t="shared" si="8"/>
        <v>12876.809999999998</v>
      </c>
      <c r="D36" s="10">
        <f t="shared" si="4"/>
        <v>15398.587022</v>
      </c>
      <c r="E36" s="20">
        <v>9654.4599999999991</v>
      </c>
      <c r="F36" s="10">
        <f>[1]бюджет2019!D35</f>
        <v>9687.94</v>
      </c>
      <c r="G36" s="10">
        <f>'[1]МРОТ с мая '!U60</f>
        <v>636.30000000000007</v>
      </c>
      <c r="H36" s="10">
        <f>'[1]МРОТ с мая '!V60</f>
        <v>669.78</v>
      </c>
      <c r="I36" s="20">
        <v>2915.65</v>
      </c>
      <c r="J36" s="10">
        <f>[1]бюджет2019!E35</f>
        <v>2925.7578800000001</v>
      </c>
      <c r="K36" s="20">
        <v>0</v>
      </c>
      <c r="L36" s="10">
        <f>[1]бюджет2019!G35</f>
        <v>0</v>
      </c>
      <c r="M36" s="20">
        <v>0</v>
      </c>
      <c r="N36" s="10">
        <f>[1]бюджет2019!F35</f>
        <v>0</v>
      </c>
      <c r="O36" s="20">
        <v>6.8</v>
      </c>
      <c r="P36" s="10">
        <f>[1]бюджет2019!J35</f>
        <v>5.3891420000000005</v>
      </c>
      <c r="Q36" s="20">
        <v>0</v>
      </c>
      <c r="R36" s="10">
        <f>[1]бюджет2019!I35</f>
        <v>0</v>
      </c>
      <c r="S36" s="20">
        <v>0</v>
      </c>
      <c r="T36" s="10">
        <f>[1]бюджет2019!K35</f>
        <v>0</v>
      </c>
      <c r="U36" s="20">
        <v>0</v>
      </c>
      <c r="V36" s="20">
        <v>0</v>
      </c>
      <c r="W36" s="20">
        <v>0</v>
      </c>
      <c r="X36" s="20">
        <v>0</v>
      </c>
      <c r="Y36" s="20">
        <f>'[1]Свод план 2018 ТЗП'!U76</f>
        <v>0</v>
      </c>
      <c r="Z36" s="20">
        <f t="shared" si="5"/>
        <v>0</v>
      </c>
      <c r="AA36" s="20">
        <f>'[1]Свод план 2018 ТЗП'!U26</f>
        <v>0</v>
      </c>
      <c r="AB36" s="20">
        <f t="shared" si="6"/>
        <v>0</v>
      </c>
      <c r="AC36" s="20">
        <v>0</v>
      </c>
      <c r="AD36" s="20">
        <v>0</v>
      </c>
      <c r="AE36" s="20">
        <f>'[1]Свод план 2018 ТЗП'!U33</f>
        <v>0</v>
      </c>
      <c r="AF36" s="20">
        <f t="shared" si="7"/>
        <v>0</v>
      </c>
      <c r="AG36" s="20">
        <v>0</v>
      </c>
      <c r="AH36" s="20">
        <v>0</v>
      </c>
      <c r="AI36" s="20">
        <f>149.9+150</f>
        <v>299.89999999999998</v>
      </c>
      <c r="AJ36" s="26" t="s">
        <v>107</v>
      </c>
      <c r="AK36" s="20">
        <f>72.5+2700+7</f>
        <v>2779.5</v>
      </c>
      <c r="AL36" s="27"/>
      <c r="AM36" s="27"/>
      <c r="AN36" s="27"/>
      <c r="AO36" s="27"/>
      <c r="AP36" s="27"/>
      <c r="AQ36" s="27"/>
      <c r="AR36" s="27"/>
      <c r="AS36" s="15" t="s">
        <v>108</v>
      </c>
      <c r="AT36" s="23"/>
    </row>
    <row r="37" spans="1:46" ht="220.5">
      <c r="A37" s="9">
        <v>19</v>
      </c>
      <c r="B37" s="24" t="s">
        <v>109</v>
      </c>
      <c r="C37" s="10">
        <f t="shared" si="8"/>
        <v>15258.030000000002</v>
      </c>
      <c r="D37" s="10">
        <f t="shared" si="4"/>
        <v>16900.372121200002</v>
      </c>
      <c r="E37" s="20">
        <v>10182.25</v>
      </c>
      <c r="F37" s="10">
        <f>[1]бюджет2019!D36</f>
        <v>10305.019600000001</v>
      </c>
      <c r="G37" s="10">
        <f>'[1]МРОТ с мая '!U61</f>
        <v>1498.0944000000002</v>
      </c>
      <c r="H37" s="10">
        <f>'[1]МРОТ с мая '!V61</f>
        <v>1620.8676000000003</v>
      </c>
      <c r="I37" s="20">
        <v>3074.98</v>
      </c>
      <c r="J37" s="10">
        <f>[1]бюджет2019!E36</f>
        <v>3112.1159192000005</v>
      </c>
      <c r="K37" s="20">
        <v>335.7</v>
      </c>
      <c r="L37" s="10">
        <f>[1]бюджет2019!G36</f>
        <v>348.96799999999996</v>
      </c>
      <c r="M37" s="20">
        <v>0</v>
      </c>
      <c r="N37" s="10">
        <f>[1]бюджет2019!F36</f>
        <v>0</v>
      </c>
      <c r="O37" s="20">
        <v>1.8</v>
      </c>
      <c r="P37" s="10">
        <f>[1]бюджет2019!J36</f>
        <v>17.484588000000002</v>
      </c>
      <c r="Q37" s="20">
        <v>12.2</v>
      </c>
      <c r="R37" s="10">
        <f>[1]бюджет2019!I36</f>
        <v>12.208013999999999</v>
      </c>
      <c r="S37" s="20">
        <v>1.2</v>
      </c>
      <c r="T37" s="10">
        <f>[1]бюджет2019!K36</f>
        <v>4.5359999999999996</v>
      </c>
      <c r="U37" s="20">
        <v>0</v>
      </c>
      <c r="V37" s="20">
        <v>0</v>
      </c>
      <c r="W37" s="20">
        <v>0</v>
      </c>
      <c r="X37" s="20">
        <v>0</v>
      </c>
      <c r="Y37" s="20">
        <f>'[1]Свод план 2018 ТЗП'!V76</f>
        <v>98.6</v>
      </c>
      <c r="Z37" s="20">
        <f t="shared" si="5"/>
        <v>108.46</v>
      </c>
      <c r="AA37" s="20">
        <f>'[1]Свод план 2018 ТЗП'!V26</f>
        <v>0</v>
      </c>
      <c r="AB37" s="20">
        <f t="shared" si="6"/>
        <v>0</v>
      </c>
      <c r="AC37" s="20">
        <v>0</v>
      </c>
      <c r="AD37" s="20">
        <v>0</v>
      </c>
      <c r="AE37" s="20">
        <f>'[1]Свод план 2018 ТЗП'!V33</f>
        <v>0</v>
      </c>
      <c r="AF37" s="20">
        <f t="shared" si="7"/>
        <v>0</v>
      </c>
      <c r="AG37" s="20">
        <v>0</v>
      </c>
      <c r="AH37" s="20">
        <v>0</v>
      </c>
      <c r="AI37" s="20">
        <f>149.9+1500-Y37</f>
        <v>1551.3000000000002</v>
      </c>
      <c r="AJ37" s="26" t="s">
        <v>110</v>
      </c>
      <c r="AK37" s="20">
        <f>137+2963.04-Z37</f>
        <v>2991.58</v>
      </c>
      <c r="AL37" s="27"/>
      <c r="AM37" s="27"/>
      <c r="AN37" s="27"/>
      <c r="AO37" s="27"/>
      <c r="AP37" s="27"/>
      <c r="AQ37" s="27"/>
      <c r="AR37" s="27"/>
      <c r="AS37" s="15" t="s">
        <v>111</v>
      </c>
      <c r="AT37" s="23"/>
    </row>
    <row r="38" spans="1:46" ht="94.5">
      <c r="A38" s="9">
        <v>20</v>
      </c>
      <c r="B38" s="24" t="s">
        <v>112</v>
      </c>
      <c r="C38" s="10">
        <f t="shared" si="8"/>
        <v>62935.670000000006</v>
      </c>
      <c r="D38" s="10">
        <f>F38+J38+L38+N38+P38+R38+T38+V38+X38+Z38+AB38+AD38+AF38+AH38+AK38</f>
        <v>79361.970953800017</v>
      </c>
      <c r="E38" s="20">
        <v>46999.33</v>
      </c>
      <c r="F38" s="10">
        <f>[1]бюджет2019!D37</f>
        <v>47057.892000000007</v>
      </c>
      <c r="G38" s="10">
        <f>'[1]МРОТ с мая '!U62</f>
        <v>2561.9920000000002</v>
      </c>
      <c r="H38" s="10">
        <f>'[1]МРОТ с мая '!V62</f>
        <v>2679.12</v>
      </c>
      <c r="I38" s="20">
        <v>14193.77</v>
      </c>
      <c r="J38" s="10">
        <f>[1]бюджет2019!E37</f>
        <v>14211.483384000001</v>
      </c>
      <c r="K38" s="20">
        <v>429.3</v>
      </c>
      <c r="L38" s="10">
        <f>[1]бюджет2019!G37</f>
        <v>449.26399999999995</v>
      </c>
      <c r="M38" s="20">
        <v>0</v>
      </c>
      <c r="N38" s="10">
        <f>[1]бюджет2019!F37</f>
        <v>0</v>
      </c>
      <c r="O38" s="20">
        <v>72.069999999999993</v>
      </c>
      <c r="P38" s="10">
        <f>[1]бюджет2019!J37</f>
        <v>40.652557000000002</v>
      </c>
      <c r="Q38" s="20">
        <v>13.7</v>
      </c>
      <c r="R38" s="10">
        <f>[1]бюджет2019!I37</f>
        <v>13.729012799999998</v>
      </c>
      <c r="S38" s="20">
        <v>7.6</v>
      </c>
      <c r="T38" s="10">
        <f>[1]бюджет2019!K37</f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f t="shared" si="5"/>
        <v>0</v>
      </c>
      <c r="AA38" s="20">
        <v>0</v>
      </c>
      <c r="AB38" s="20">
        <v>3170</v>
      </c>
      <c r="AC38" s="20">
        <v>0</v>
      </c>
      <c r="AD38" s="20">
        <v>0</v>
      </c>
      <c r="AE38" s="20">
        <f>'[1]Свод план 2018 ТЗП'!W33</f>
        <v>0</v>
      </c>
      <c r="AF38" s="20">
        <f t="shared" si="7"/>
        <v>0</v>
      </c>
      <c r="AG38" s="20">
        <v>0</v>
      </c>
      <c r="AH38" s="20">
        <v>0</v>
      </c>
      <c r="AI38" s="20">
        <f>1219.9-Y38-AA38</f>
        <v>1219.9000000000001</v>
      </c>
      <c r="AJ38" s="26" t="s">
        <v>113</v>
      </c>
      <c r="AK38" s="20">
        <f>191.55+65+18+7716.4+2223+4205-Z38</f>
        <v>14418.95</v>
      </c>
      <c r="AL38" s="27"/>
      <c r="AM38" s="27"/>
      <c r="AN38" s="27"/>
      <c r="AO38" s="27"/>
      <c r="AP38" s="27"/>
      <c r="AQ38" s="27"/>
      <c r="AR38" s="27"/>
      <c r="AS38" s="15" t="s">
        <v>114</v>
      </c>
      <c r="AT38" s="23"/>
    </row>
    <row r="39" spans="1:46" ht="31.5">
      <c r="A39" s="9">
        <v>21</v>
      </c>
      <c r="B39" s="24" t="s">
        <v>115</v>
      </c>
      <c r="C39" s="10">
        <f t="shared" si="8"/>
        <v>7612.7099999999991</v>
      </c>
      <c r="D39" s="10">
        <f t="shared" si="4"/>
        <v>25029.754376999997</v>
      </c>
      <c r="E39" s="20">
        <v>2010.58</v>
      </c>
      <c r="F39" s="10">
        <f>[1]бюджет2019!D38</f>
        <v>2023.9759999999999</v>
      </c>
      <c r="G39" s="10">
        <f>'[1]МРОТ с мая '!U63</f>
        <v>254.51999999999998</v>
      </c>
      <c r="H39" s="10">
        <f>'[1]МРОТ с мая '!V63</f>
        <v>267.91200000000003</v>
      </c>
      <c r="I39" s="20">
        <v>607.23</v>
      </c>
      <c r="J39" s="10">
        <f>[1]бюджет2019!E38</f>
        <v>611.24075199999993</v>
      </c>
      <c r="K39" s="20">
        <v>0</v>
      </c>
      <c r="L39" s="10">
        <f>[1]бюджет2019!G38</f>
        <v>0</v>
      </c>
      <c r="M39" s="20">
        <v>0</v>
      </c>
      <c r="N39" s="10">
        <f>[1]бюджет2019!F38</f>
        <v>0</v>
      </c>
      <c r="O39" s="20">
        <v>0</v>
      </c>
      <c r="P39" s="10">
        <f>[1]бюджет2019!J38</f>
        <v>50.257625000000004</v>
      </c>
      <c r="Q39" s="20">
        <v>0</v>
      </c>
      <c r="R39" s="10">
        <f>[1]бюджет2019!I38</f>
        <v>0</v>
      </c>
      <c r="S39" s="20">
        <v>0</v>
      </c>
      <c r="T39" s="10">
        <f>[1]бюджет2019!K38</f>
        <v>9.68</v>
      </c>
      <c r="U39" s="20">
        <v>0</v>
      </c>
      <c r="V39" s="20">
        <v>0</v>
      </c>
      <c r="W39" s="20">
        <v>0</v>
      </c>
      <c r="X39" s="20">
        <v>0</v>
      </c>
      <c r="Y39" s="20">
        <f>'[1]Свод план 2018 ТЗП'!X76</f>
        <v>0</v>
      </c>
      <c r="Z39" s="20">
        <f t="shared" si="5"/>
        <v>0</v>
      </c>
      <c r="AA39" s="20">
        <f>'[1]Свод план 2018 ТЗП'!X26</f>
        <v>0</v>
      </c>
      <c r="AB39" s="20">
        <f t="shared" si="6"/>
        <v>0</v>
      </c>
      <c r="AC39" s="20">
        <f>285+500+300+1000+1500+1300</f>
        <v>4885</v>
      </c>
      <c r="AD39" s="20">
        <f>1500+2000+1000+6000+3000+2500+5940.1</f>
        <v>21940.1</v>
      </c>
      <c r="AE39" s="20">
        <f>'[1]Свод план 2018 ТЗП'!X33</f>
        <v>0</v>
      </c>
      <c r="AF39" s="20">
        <f t="shared" si="7"/>
        <v>0</v>
      </c>
      <c r="AG39" s="20">
        <v>0</v>
      </c>
      <c r="AH39" s="20">
        <v>0</v>
      </c>
      <c r="AI39" s="20">
        <f>10+99.9</f>
        <v>109.9</v>
      </c>
      <c r="AJ39" s="26" t="s">
        <v>116</v>
      </c>
      <c r="AK39" s="20">
        <v>394.5</v>
      </c>
      <c r="AL39" s="27"/>
      <c r="AM39" s="27"/>
      <c r="AN39" s="27"/>
      <c r="AO39" s="27"/>
      <c r="AP39" s="27"/>
      <c r="AQ39" s="27"/>
      <c r="AR39" s="27"/>
      <c r="AS39" s="15" t="s">
        <v>117</v>
      </c>
      <c r="AT39" s="23"/>
    </row>
    <row r="40" spans="1:46" ht="63">
      <c r="A40" s="9">
        <v>22</v>
      </c>
      <c r="B40" s="24" t="s">
        <v>118</v>
      </c>
      <c r="C40" s="10">
        <f t="shared" si="8"/>
        <v>9817.17</v>
      </c>
      <c r="D40" s="10">
        <f t="shared" si="4"/>
        <v>12956.417455999999</v>
      </c>
      <c r="E40" s="20">
        <v>7125.35</v>
      </c>
      <c r="F40" s="10">
        <f>[1]бюджет2019!D39</f>
        <v>7165.5280000000002</v>
      </c>
      <c r="G40" s="10">
        <f>'[1]МРОТ с мая '!U64</f>
        <v>763.56000000000006</v>
      </c>
      <c r="H40" s="10">
        <f>'[1]МРОТ с мая '!V64</f>
        <v>803.7360000000001</v>
      </c>
      <c r="I40" s="20">
        <v>2151.92</v>
      </c>
      <c r="J40" s="10">
        <f>[1]бюджет2019!E39</f>
        <v>2163.9894559999998</v>
      </c>
      <c r="K40" s="20">
        <v>0</v>
      </c>
      <c r="L40" s="10">
        <f>[1]бюджет2019!G39</f>
        <v>0</v>
      </c>
      <c r="M40" s="20">
        <v>0</v>
      </c>
      <c r="N40" s="10">
        <f>[1]бюджет2019!F39</f>
        <v>0</v>
      </c>
      <c r="O40" s="20">
        <v>0</v>
      </c>
      <c r="P40" s="10">
        <f>[1]бюджет2019!J39</f>
        <v>0</v>
      </c>
      <c r="Q40" s="20">
        <v>0</v>
      </c>
      <c r="R40" s="10">
        <f>[1]бюджет2019!I39</f>
        <v>0</v>
      </c>
      <c r="S40" s="20">
        <v>0</v>
      </c>
      <c r="T40" s="10">
        <f>[1]бюджет2019!K39</f>
        <v>0</v>
      </c>
      <c r="U40" s="20">
        <v>0</v>
      </c>
      <c r="V40" s="20">
        <v>0</v>
      </c>
      <c r="W40" s="20">
        <v>0</v>
      </c>
      <c r="X40" s="20">
        <v>0</v>
      </c>
      <c r="Y40" s="20">
        <f>'[1]Свод план 2018 ТЗП'!Y76</f>
        <v>0</v>
      </c>
      <c r="Z40" s="20">
        <f t="shared" si="5"/>
        <v>0</v>
      </c>
      <c r="AA40" s="20">
        <f>'[1]Свод план 2018 ТЗП'!Y26</f>
        <v>42.9</v>
      </c>
      <c r="AB40" s="20">
        <f t="shared" si="6"/>
        <v>47.19</v>
      </c>
      <c r="AC40" s="20">
        <v>0</v>
      </c>
      <c r="AD40" s="20">
        <v>0</v>
      </c>
      <c r="AE40" s="20">
        <f>'[1]Свод план 2018 ТЗП'!Y33</f>
        <v>0</v>
      </c>
      <c r="AF40" s="20">
        <f t="shared" si="7"/>
        <v>0</v>
      </c>
      <c r="AG40" s="20">
        <v>0</v>
      </c>
      <c r="AH40" s="20">
        <v>0</v>
      </c>
      <c r="AI40" s="20">
        <f>139.9+400-AA40</f>
        <v>497</v>
      </c>
      <c r="AJ40" s="26" t="s">
        <v>119</v>
      </c>
      <c r="AK40" s="20">
        <f>68.5+3340-AB40+218.4</f>
        <v>3579.71</v>
      </c>
      <c r="AL40" s="27"/>
      <c r="AM40" s="27"/>
      <c r="AN40" s="27"/>
      <c r="AO40" s="27"/>
      <c r="AP40" s="27"/>
      <c r="AQ40" s="27"/>
      <c r="AR40" s="27"/>
      <c r="AS40" s="15" t="s">
        <v>120</v>
      </c>
      <c r="AT40" s="23"/>
    </row>
    <row r="41" spans="1:46" ht="78.75">
      <c r="A41" s="9">
        <v>23</v>
      </c>
      <c r="B41" s="24" t="s">
        <v>121</v>
      </c>
      <c r="C41" s="10">
        <f t="shared" si="8"/>
        <v>8052.92</v>
      </c>
      <c r="D41" s="10">
        <f t="shared" si="4"/>
        <v>11149.937159679999</v>
      </c>
      <c r="E41" s="20">
        <v>5858.72</v>
      </c>
      <c r="F41" s="10">
        <f>[1]бюджет2019!D40</f>
        <v>5914.0838399999993</v>
      </c>
      <c r="G41" s="10">
        <f>'[1]МРОТ с мая '!U65</f>
        <v>566.19455999999991</v>
      </c>
      <c r="H41" s="10">
        <f>'[1]МРОТ с мая '!V65</f>
        <v>621.55583999999999</v>
      </c>
      <c r="I41" s="20">
        <v>1769.3</v>
      </c>
      <c r="J41" s="10">
        <f>[1]бюджет2019!E40</f>
        <v>1786.0533196799997</v>
      </c>
      <c r="K41" s="20">
        <v>0</v>
      </c>
      <c r="L41" s="10">
        <f>[1]бюджет2019!G40</f>
        <v>0</v>
      </c>
      <c r="M41" s="20">
        <v>0</v>
      </c>
      <c r="N41" s="10">
        <f>[1]бюджет2019!F40</f>
        <v>0</v>
      </c>
      <c r="O41" s="20">
        <v>0</v>
      </c>
      <c r="P41" s="10">
        <f>[1]бюджет2019!J40</f>
        <v>0</v>
      </c>
      <c r="Q41" s="20">
        <v>0</v>
      </c>
      <c r="R41" s="10">
        <f>[1]бюджет2019!I40</f>
        <v>0</v>
      </c>
      <c r="S41" s="20">
        <v>0</v>
      </c>
      <c r="T41" s="10">
        <f>[1]бюджет2019!K40</f>
        <v>0</v>
      </c>
      <c r="U41" s="20">
        <v>0</v>
      </c>
      <c r="V41" s="20">
        <v>0</v>
      </c>
      <c r="W41" s="20">
        <v>0</v>
      </c>
      <c r="X41" s="20">
        <v>0</v>
      </c>
      <c r="Y41" s="20">
        <f>'[1]Свод план 2018 ТЗП'!Z76</f>
        <v>15</v>
      </c>
      <c r="Z41" s="20">
        <f t="shared" si="5"/>
        <v>16.5</v>
      </c>
      <c r="AA41" s="20">
        <f>'[1]Свод план 2018 ТЗП'!Z26</f>
        <v>15</v>
      </c>
      <c r="AB41" s="20">
        <f t="shared" si="6"/>
        <v>16.5</v>
      </c>
      <c r="AC41" s="20">
        <v>0</v>
      </c>
      <c r="AD41" s="20">
        <v>0</v>
      </c>
      <c r="AE41" s="20">
        <f>'[1]Свод план 2018 ТЗП'!Z33</f>
        <v>0</v>
      </c>
      <c r="AF41" s="20">
        <f t="shared" si="7"/>
        <v>0</v>
      </c>
      <c r="AG41" s="20">
        <v>0</v>
      </c>
      <c r="AH41" s="20">
        <v>0</v>
      </c>
      <c r="AI41" s="20">
        <f>124.9+300-Y41-AA41</f>
        <v>394.9</v>
      </c>
      <c r="AJ41" s="26" t="s">
        <v>122</v>
      </c>
      <c r="AK41" s="20">
        <f>47+3189.9+212.9-Z41-AB41</f>
        <v>3416.8</v>
      </c>
      <c r="AL41" s="27"/>
      <c r="AM41" s="27"/>
      <c r="AN41" s="27"/>
      <c r="AO41" s="27"/>
      <c r="AP41" s="27"/>
      <c r="AQ41" s="27"/>
      <c r="AR41" s="27"/>
      <c r="AS41" s="15" t="s">
        <v>123</v>
      </c>
      <c r="AT41" s="23"/>
    </row>
    <row r="42" spans="1:46" s="8" customFormat="1" ht="19.5" customHeight="1">
      <c r="A42" s="16"/>
      <c r="B42" s="13" t="s">
        <v>124</v>
      </c>
      <c r="C42" s="29">
        <f>SUM(C19:C41)</f>
        <v>724193.3158000001</v>
      </c>
      <c r="D42" s="29">
        <f t="shared" ref="D42:AK42" si="9">SUM(D19:D41)</f>
        <v>943476.72714949003</v>
      </c>
      <c r="E42" s="29">
        <f t="shared" si="9"/>
        <v>489146.72999999992</v>
      </c>
      <c r="F42" s="29">
        <f t="shared" si="9"/>
        <v>494767.37577302614</v>
      </c>
      <c r="G42" s="29">
        <f t="shared" si="9"/>
        <v>100038.409122212</v>
      </c>
      <c r="H42" s="29">
        <f t="shared" si="9"/>
        <v>105308.16984000003</v>
      </c>
      <c r="I42" s="29">
        <f t="shared" si="9"/>
        <v>148361.53</v>
      </c>
      <c r="J42" s="29">
        <f t="shared" si="9"/>
        <v>149419.74748345389</v>
      </c>
      <c r="K42" s="29">
        <f t="shared" si="9"/>
        <v>10207.585800000001</v>
      </c>
      <c r="L42" s="29">
        <f t="shared" si="9"/>
        <v>11346.103999999999</v>
      </c>
      <c r="M42" s="29">
        <f t="shared" si="9"/>
        <v>0</v>
      </c>
      <c r="N42" s="29">
        <f t="shared" si="9"/>
        <v>0</v>
      </c>
      <c r="O42" s="29">
        <f t="shared" si="9"/>
        <v>6966.5000000000009</v>
      </c>
      <c r="P42" s="29">
        <f t="shared" si="9"/>
        <v>11193.12491</v>
      </c>
      <c r="Q42" s="29">
        <f t="shared" si="9"/>
        <v>2316.2699999999995</v>
      </c>
      <c r="R42" s="29">
        <f t="shared" si="9"/>
        <v>2316.2869830099989</v>
      </c>
      <c r="S42" s="29">
        <f t="shared" si="9"/>
        <v>128.80000000000004</v>
      </c>
      <c r="T42" s="29">
        <f t="shared" si="9"/>
        <v>184.298</v>
      </c>
      <c r="U42" s="29">
        <f t="shared" si="9"/>
        <v>0</v>
      </c>
      <c r="V42" s="29">
        <f t="shared" si="9"/>
        <v>0</v>
      </c>
      <c r="W42" s="29">
        <f t="shared" si="9"/>
        <v>160</v>
      </c>
      <c r="X42" s="29">
        <f t="shared" si="9"/>
        <v>160</v>
      </c>
      <c r="Y42" s="29">
        <f t="shared" si="9"/>
        <v>3047.9099999999994</v>
      </c>
      <c r="Z42" s="29">
        <f t="shared" si="9"/>
        <v>3352.701</v>
      </c>
      <c r="AA42" s="29">
        <f t="shared" si="9"/>
        <v>1041.7</v>
      </c>
      <c r="AB42" s="29">
        <f t="shared" si="9"/>
        <v>4315.87</v>
      </c>
      <c r="AC42" s="29">
        <f t="shared" si="9"/>
        <v>19822</v>
      </c>
      <c r="AD42" s="29">
        <f t="shared" si="9"/>
        <v>56030.5</v>
      </c>
      <c r="AE42" s="29">
        <f t="shared" si="9"/>
        <v>332.11600000000004</v>
      </c>
      <c r="AF42" s="29">
        <f t="shared" si="9"/>
        <v>332.11600000000004</v>
      </c>
      <c r="AG42" s="29">
        <f t="shared" si="9"/>
        <v>18206</v>
      </c>
      <c r="AH42" s="29">
        <f t="shared" si="9"/>
        <v>26074.7</v>
      </c>
      <c r="AI42" s="29">
        <f t="shared" si="9"/>
        <v>24456.174000000006</v>
      </c>
      <c r="AJ42" s="29"/>
      <c r="AK42" s="29">
        <f t="shared" si="9"/>
        <v>183983.90299999999</v>
      </c>
      <c r="AL42" s="13"/>
      <c r="AM42" s="13"/>
      <c r="AN42" s="13"/>
      <c r="AO42" s="13"/>
      <c r="AP42" s="13"/>
      <c r="AQ42" s="13"/>
      <c r="AR42" s="13"/>
      <c r="AS42" s="13"/>
      <c r="AT42" s="7"/>
    </row>
    <row r="43" spans="1:46">
      <c r="A43" s="16"/>
      <c r="B43" s="13" t="s">
        <v>125</v>
      </c>
      <c r="C43" s="29">
        <f>C8+C14+C18+C42</f>
        <v>1081179.1724240002</v>
      </c>
      <c r="D43" s="29">
        <f>D8+D14+D18+D42</f>
        <v>1473083.2926662918</v>
      </c>
      <c r="E43" s="29">
        <f t="shared" ref="E43:AR43" si="10">E8+E14+E18+E42</f>
        <v>713442.13500000001</v>
      </c>
      <c r="F43" s="88">
        <f t="shared" si="10"/>
        <v>720291.98506109987</v>
      </c>
      <c r="G43" s="29">
        <f t="shared" si="10"/>
        <v>139472.45224221199</v>
      </c>
      <c r="H43" s="29">
        <f t="shared" si="10"/>
        <v>146905.52652000004</v>
      </c>
      <c r="I43" s="29">
        <f t="shared" si="10"/>
        <v>216098.881624</v>
      </c>
      <c r="J43" s="88">
        <f t="shared" si="10"/>
        <v>217528.17948845215</v>
      </c>
      <c r="K43" s="29">
        <f t="shared" si="10"/>
        <v>17164.485800000002</v>
      </c>
      <c r="L43" s="88">
        <f t="shared" si="10"/>
        <v>20547.6728</v>
      </c>
      <c r="M43" s="29">
        <f t="shared" si="10"/>
        <v>643.5</v>
      </c>
      <c r="N43" s="88">
        <f t="shared" si="10"/>
        <v>650.36</v>
      </c>
      <c r="O43" s="29">
        <f t="shared" si="10"/>
        <v>8403.9000000000015</v>
      </c>
      <c r="P43" s="29">
        <f t="shared" si="10"/>
        <v>13307.421259000001</v>
      </c>
      <c r="Q43" s="29">
        <f t="shared" si="10"/>
        <v>2821.9699999999993</v>
      </c>
      <c r="R43" s="29">
        <f t="shared" si="10"/>
        <v>2932.510057739999</v>
      </c>
      <c r="S43" s="29">
        <f t="shared" si="10"/>
        <v>142.30000000000004</v>
      </c>
      <c r="T43" s="29">
        <f t="shared" si="10"/>
        <v>200.41</v>
      </c>
      <c r="U43" s="29">
        <f t="shared" si="10"/>
        <v>275.55</v>
      </c>
      <c r="V43" s="29">
        <f t="shared" si="10"/>
        <v>1540.7280000000001</v>
      </c>
      <c r="W43" s="29">
        <f t="shared" si="10"/>
        <v>1960</v>
      </c>
      <c r="X43" s="88">
        <f t="shared" si="10"/>
        <v>6262.3950000000004</v>
      </c>
      <c r="Y43" s="29">
        <f t="shared" si="10"/>
        <v>3814.3099999999995</v>
      </c>
      <c r="Z43" s="88">
        <f t="shared" si="10"/>
        <v>4306.7209999999995</v>
      </c>
      <c r="AA43" s="29">
        <f t="shared" si="10"/>
        <v>1581.0129999999999</v>
      </c>
      <c r="AB43" s="88">
        <f t="shared" si="10"/>
        <v>6271.87</v>
      </c>
      <c r="AC43" s="29">
        <f t="shared" si="10"/>
        <v>34043.9</v>
      </c>
      <c r="AD43" s="29">
        <f t="shared" si="10"/>
        <v>82115.5</v>
      </c>
      <c r="AE43" s="29">
        <f t="shared" si="10"/>
        <v>769.11599999999999</v>
      </c>
      <c r="AF43" s="29">
        <f t="shared" si="10"/>
        <v>668.21600000000012</v>
      </c>
      <c r="AG43" s="29">
        <f t="shared" si="10"/>
        <v>44926.25</v>
      </c>
      <c r="AH43" s="29">
        <f t="shared" si="10"/>
        <v>71317.22</v>
      </c>
      <c r="AI43" s="29">
        <f t="shared" si="10"/>
        <v>35091.861000000004</v>
      </c>
      <c r="AJ43" s="29"/>
      <c r="AK43" s="29">
        <f t="shared" si="10"/>
        <v>325142.10399999999</v>
      </c>
      <c r="AL43" s="29">
        <f t="shared" si="10"/>
        <v>0</v>
      </c>
      <c r="AM43" s="29">
        <f t="shared" si="10"/>
        <v>0</v>
      </c>
      <c r="AN43" s="29">
        <f t="shared" si="10"/>
        <v>0</v>
      </c>
      <c r="AO43" s="29">
        <f t="shared" si="10"/>
        <v>0</v>
      </c>
      <c r="AP43" s="29">
        <f t="shared" si="10"/>
        <v>0</v>
      </c>
      <c r="AQ43" s="29">
        <f t="shared" si="10"/>
        <v>0</v>
      </c>
      <c r="AR43" s="29">
        <f t="shared" si="10"/>
        <v>0</v>
      </c>
      <c r="AS43" s="29"/>
      <c r="AT43" s="30"/>
    </row>
    <row r="44" spans="1:46" ht="25.5" customHeight="1">
      <c r="B44" s="31"/>
      <c r="C44" s="31"/>
      <c r="D44" s="31"/>
      <c r="E44" s="31"/>
      <c r="F44" s="31"/>
      <c r="G44" s="31"/>
      <c r="H44" s="31"/>
      <c r="I44" s="31"/>
      <c r="R44" s="89">
        <f>+P43+R43+T43</f>
        <v>16440.341316739999</v>
      </c>
      <c r="V44" s="32"/>
      <c r="W44" s="91"/>
      <c r="X44" s="91"/>
      <c r="Y44" s="33"/>
      <c r="Z44" s="92"/>
      <c r="AA44" s="92"/>
      <c r="AB44" s="94"/>
      <c r="AC44" s="94"/>
      <c r="AE44" s="92"/>
      <c r="AF44" s="92"/>
      <c r="AH44" s="92"/>
      <c r="AI44" s="92"/>
      <c r="AJ44" s="34"/>
    </row>
    <row r="45" spans="1:46"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S45" s="3">
        <f>AK43+AH43+AF43</f>
        <v>397127.54000000004</v>
      </c>
    </row>
    <row r="46" spans="1:46" ht="27.75" customHeight="1">
      <c r="V46" s="32"/>
      <c r="W46" s="91"/>
      <c r="X46" s="91"/>
      <c r="Y46" s="33"/>
      <c r="Z46" s="92"/>
      <c r="AA46" s="92"/>
      <c r="AB46" s="94"/>
      <c r="AC46" s="94"/>
      <c r="AE46" s="90"/>
      <c r="AF46" s="90"/>
      <c r="AH46" s="90"/>
      <c r="AI46" s="90"/>
      <c r="AJ46" s="34"/>
    </row>
    <row r="47" spans="1:46">
      <c r="B47" s="31"/>
      <c r="C47" s="31"/>
      <c r="D47" s="31"/>
      <c r="E47" s="31"/>
      <c r="F47" s="31"/>
      <c r="G47" s="31"/>
    </row>
  </sheetData>
  <mergeCells count="33">
    <mergeCell ref="I5:J6"/>
    <mergeCell ref="AI5:AS6"/>
    <mergeCell ref="G6:H6"/>
    <mergeCell ref="AC5:AD6"/>
    <mergeCell ref="AE5:AF6"/>
    <mergeCell ref="AG5:AH6"/>
    <mergeCell ref="AI3:AK3"/>
    <mergeCell ref="B4:AK4"/>
    <mergeCell ref="K5:L6"/>
    <mergeCell ref="M5:N6"/>
    <mergeCell ref="U5:V6"/>
    <mergeCell ref="W5:X6"/>
    <mergeCell ref="Y5:Z6"/>
    <mergeCell ref="AB46:AC46"/>
    <mergeCell ref="O5:P6"/>
    <mergeCell ref="Q5:R6"/>
    <mergeCell ref="S5:T6"/>
    <mergeCell ref="G5:H5"/>
    <mergeCell ref="A5:A7"/>
    <mergeCell ref="B5:B7"/>
    <mergeCell ref="C5:D6"/>
    <mergeCell ref="E5:F6"/>
    <mergeCell ref="AA5:AB6"/>
    <mergeCell ref="AE46:AF46"/>
    <mergeCell ref="W44:X44"/>
    <mergeCell ref="AH46:AI46"/>
    <mergeCell ref="Z44:AA44"/>
    <mergeCell ref="B45:AK45"/>
    <mergeCell ref="AB44:AC44"/>
    <mergeCell ref="AE44:AF44"/>
    <mergeCell ref="AH44:AI44"/>
    <mergeCell ref="W46:X46"/>
    <mergeCell ref="Z46:AA46"/>
  </mergeCells>
  <phoneticPr fontId="0" type="noConversion"/>
  <pageMargins left="0.31496062992125984" right="0.15748031496062992" top="0.98425196850393704" bottom="0.98425196850393704" header="0.51181102362204722" footer="0.51181102362204722"/>
  <pageSetup paperSize="9" scale="50" fitToWidth="3" orientation="landscape" r:id="rId1"/>
  <headerFooter alignWithMargins="0">
    <oddFooter>&amp;C&amp;Z&amp;F</oddFooter>
  </headerFooter>
  <rowBreaks count="1" manualBreakCount="1">
    <brk id="23" max="45" man="1"/>
  </rowBreaks>
  <colBreaks count="2" manualBreakCount="2">
    <brk id="25" min="2" max="43" man="1"/>
    <brk id="45" min="2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CL46"/>
  <sheetViews>
    <sheetView view="pageBreakPreview" zoomScaleSheetLayoutView="100" workbookViewId="0">
      <pane xSplit="3" ySplit="7" topLeftCell="G8" activePane="bottomRight" state="frozen"/>
      <selection pane="topRight" activeCell="D1" sqref="D1"/>
      <selection pane="bottomLeft" activeCell="A8" sqref="A8"/>
      <selection pane="bottomRight" activeCell="V8" sqref="V8"/>
    </sheetView>
  </sheetViews>
  <sheetFormatPr defaultRowHeight="14.25"/>
  <cols>
    <col min="1" max="1" width="4" style="86" customWidth="1"/>
    <col min="2" max="2" width="42.28515625" style="86" customWidth="1"/>
    <col min="3" max="20" width="9.140625" style="86"/>
    <col min="21" max="21" width="11.5703125" style="86" customWidth="1"/>
    <col min="22" max="22" width="9.140625" style="86"/>
    <col min="23" max="23" width="12.140625" style="86" customWidth="1"/>
    <col min="24" max="24" width="10.5703125" style="86" customWidth="1"/>
    <col min="25" max="25" width="9.140625" style="86"/>
    <col min="26" max="26" width="10.5703125" style="86" customWidth="1"/>
    <col min="27" max="32" width="9.140625" style="86"/>
    <col min="33" max="33" width="10.42578125" style="86" customWidth="1"/>
    <col min="34" max="34" width="9.140625" style="86"/>
    <col min="35" max="35" width="10.140625" style="86" customWidth="1"/>
    <col min="36" max="36" width="10.7109375" style="86" customWidth="1"/>
    <col min="37" max="37" width="9.140625" style="86"/>
    <col min="38" max="38" width="10.85546875" style="86" customWidth="1"/>
    <col min="39" max="39" width="10" style="86" customWidth="1"/>
    <col min="40" max="40" width="9.140625" style="86"/>
    <col min="41" max="41" width="10.7109375" style="86" customWidth="1"/>
    <col min="42" max="42" width="13.7109375" style="86" customWidth="1"/>
    <col min="43" max="43" width="12.28515625" style="86" customWidth="1"/>
    <col min="44" max="44" width="15.85546875" style="86" customWidth="1"/>
    <col min="45" max="47" width="9.140625" style="86"/>
    <col min="48" max="48" width="19.140625" style="86" customWidth="1"/>
    <col min="49" max="49" width="16.7109375" style="86" customWidth="1"/>
    <col min="50" max="50" width="16" style="86" customWidth="1"/>
    <col min="51" max="16384" width="9.140625" style="86"/>
  </cols>
  <sheetData>
    <row r="2" spans="1:90" s="35" customFormat="1" ht="16.5" customHeight="1">
      <c r="B2" s="36"/>
      <c r="C2" s="130" t="s">
        <v>126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36"/>
      <c r="W2" s="36"/>
      <c r="X2" s="36"/>
      <c r="Y2" s="36"/>
      <c r="AA2" s="37"/>
      <c r="AB2" s="37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</row>
    <row r="3" spans="1:90" s="35" customFormat="1" ht="24" customHeight="1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</row>
    <row r="4" spans="1:90" s="35" customFormat="1" ht="24" customHeight="1">
      <c r="A4" s="125" t="s">
        <v>127</v>
      </c>
      <c r="B4" s="113" t="s">
        <v>128</v>
      </c>
      <c r="C4" s="108" t="s">
        <v>129</v>
      </c>
      <c r="D4" s="108"/>
      <c r="E4" s="10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9"/>
      <c r="U4" s="131" t="s">
        <v>130</v>
      </c>
      <c r="V4" s="132"/>
      <c r="W4" s="133"/>
      <c r="X4" s="108" t="s">
        <v>131</v>
      </c>
      <c r="Y4" s="108"/>
      <c r="Z4" s="108"/>
      <c r="AA4" s="117" t="s">
        <v>132</v>
      </c>
      <c r="AB4" s="118"/>
      <c r="AC4" s="118"/>
      <c r="AD4" s="118"/>
      <c r="AE4" s="118"/>
      <c r="AF4" s="118"/>
      <c r="AG4" s="118"/>
      <c r="AH4" s="118"/>
      <c r="AI4" s="118"/>
      <c r="AJ4" s="117" t="s">
        <v>132</v>
      </c>
      <c r="AK4" s="118"/>
      <c r="AL4" s="118"/>
      <c r="AM4" s="118"/>
      <c r="AN4" s="118"/>
      <c r="AO4" s="119"/>
      <c r="AP4" s="120" t="s">
        <v>133</v>
      </c>
      <c r="AQ4" s="113" t="s">
        <v>134</v>
      </c>
      <c r="AR4" s="113" t="s">
        <v>135</v>
      </c>
      <c r="AS4" s="113" t="s">
        <v>136</v>
      </c>
      <c r="AT4" s="113" t="s">
        <v>137</v>
      </c>
      <c r="AU4" s="113" t="s">
        <v>138</v>
      </c>
      <c r="AV4" s="113" t="s">
        <v>139</v>
      </c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39"/>
      <c r="BZ4" s="112"/>
      <c r="CA4" s="112"/>
      <c r="CB4" s="112"/>
      <c r="CC4" s="112"/>
      <c r="CD4" s="112"/>
      <c r="CE4" s="108"/>
      <c r="CF4" s="108"/>
      <c r="CG4" s="108"/>
      <c r="CH4" s="108"/>
      <c r="CI4" s="108"/>
      <c r="CJ4" s="108" t="s">
        <v>140</v>
      </c>
      <c r="CK4" s="108"/>
      <c r="CL4" s="116"/>
    </row>
    <row r="5" spans="1:90" s="35" customFormat="1" ht="117.75" customHeight="1">
      <c r="A5" s="126"/>
      <c r="B5" s="128"/>
      <c r="C5" s="108"/>
      <c r="D5" s="108"/>
      <c r="E5" s="108"/>
      <c r="F5" s="109" t="s">
        <v>141</v>
      </c>
      <c r="G5" s="110"/>
      <c r="H5" s="111"/>
      <c r="I5" s="109" t="s">
        <v>142</v>
      </c>
      <c r="J5" s="110"/>
      <c r="K5" s="111"/>
      <c r="L5" s="109" t="s">
        <v>143</v>
      </c>
      <c r="M5" s="110"/>
      <c r="N5" s="111"/>
      <c r="O5" s="108" t="s">
        <v>144</v>
      </c>
      <c r="P5" s="108"/>
      <c r="Q5" s="108"/>
      <c r="R5" s="109" t="s">
        <v>145</v>
      </c>
      <c r="S5" s="110"/>
      <c r="T5" s="111"/>
      <c r="U5" s="134"/>
      <c r="V5" s="135"/>
      <c r="W5" s="136"/>
      <c r="X5" s="108"/>
      <c r="Y5" s="108"/>
      <c r="Z5" s="108"/>
      <c r="AA5" s="108" t="s">
        <v>146</v>
      </c>
      <c r="AB5" s="108"/>
      <c r="AC5" s="108"/>
      <c r="AD5" s="108" t="s">
        <v>147</v>
      </c>
      <c r="AE5" s="108"/>
      <c r="AF5" s="108"/>
      <c r="AG5" s="109" t="s">
        <v>148</v>
      </c>
      <c r="AH5" s="110"/>
      <c r="AI5" s="111"/>
      <c r="AJ5" s="108" t="s">
        <v>149</v>
      </c>
      <c r="AK5" s="108"/>
      <c r="AL5" s="108"/>
      <c r="AM5" s="108" t="s">
        <v>150</v>
      </c>
      <c r="AN5" s="108"/>
      <c r="AO5" s="108"/>
      <c r="AP5" s="121"/>
      <c r="AQ5" s="114"/>
      <c r="AR5" s="114"/>
      <c r="AS5" s="114"/>
      <c r="AT5" s="114"/>
      <c r="AU5" s="114"/>
      <c r="AV5" s="114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39"/>
      <c r="BZ5" s="39"/>
      <c r="CA5" s="39"/>
      <c r="CB5" s="39"/>
      <c r="CC5" s="39"/>
      <c r="CD5" s="39"/>
      <c r="CE5" s="108"/>
      <c r="CF5" s="108"/>
      <c r="CG5" s="108"/>
      <c r="CH5" s="108"/>
      <c r="CI5" s="108"/>
      <c r="CJ5" s="108"/>
      <c r="CK5" s="108"/>
      <c r="CL5" s="116"/>
    </row>
    <row r="6" spans="1:90" s="35" customFormat="1" ht="26.25" customHeight="1">
      <c r="A6" s="126"/>
      <c r="B6" s="128"/>
      <c r="C6" s="123" t="s">
        <v>25</v>
      </c>
      <c r="D6" s="124"/>
      <c r="E6" s="40" t="s">
        <v>23</v>
      </c>
      <c r="F6" s="123" t="s">
        <v>25</v>
      </c>
      <c r="G6" s="124"/>
      <c r="H6" s="40" t="s">
        <v>23</v>
      </c>
      <c r="I6" s="123" t="s">
        <v>25</v>
      </c>
      <c r="J6" s="124"/>
      <c r="K6" s="40" t="s">
        <v>23</v>
      </c>
      <c r="L6" s="123" t="s">
        <v>25</v>
      </c>
      <c r="M6" s="124"/>
      <c r="N6" s="40" t="s">
        <v>23</v>
      </c>
      <c r="O6" s="123" t="s">
        <v>25</v>
      </c>
      <c r="P6" s="124"/>
      <c r="Q6" s="40" t="s">
        <v>23</v>
      </c>
      <c r="R6" s="123" t="s">
        <v>25</v>
      </c>
      <c r="S6" s="124"/>
      <c r="T6" s="40" t="s">
        <v>23</v>
      </c>
      <c r="U6" s="123" t="s">
        <v>25</v>
      </c>
      <c r="V6" s="124"/>
      <c r="W6" s="40" t="s">
        <v>23</v>
      </c>
      <c r="X6" s="123" t="s">
        <v>25</v>
      </c>
      <c r="Y6" s="124"/>
      <c r="Z6" s="40" t="s">
        <v>23</v>
      </c>
      <c r="AA6" s="123" t="s">
        <v>25</v>
      </c>
      <c r="AB6" s="124"/>
      <c r="AC6" s="40" t="s">
        <v>23</v>
      </c>
      <c r="AD6" s="123" t="s">
        <v>25</v>
      </c>
      <c r="AE6" s="124"/>
      <c r="AF6" s="40" t="s">
        <v>23</v>
      </c>
      <c r="AG6" s="123" t="s">
        <v>25</v>
      </c>
      <c r="AH6" s="124"/>
      <c r="AI6" s="40" t="s">
        <v>23</v>
      </c>
      <c r="AJ6" s="123" t="s">
        <v>25</v>
      </c>
      <c r="AK6" s="124"/>
      <c r="AL6" s="40" t="s">
        <v>23</v>
      </c>
      <c r="AM6" s="123" t="s">
        <v>25</v>
      </c>
      <c r="AN6" s="124"/>
      <c r="AO6" s="40" t="s">
        <v>23</v>
      </c>
      <c r="AP6" s="121"/>
      <c r="AQ6" s="114"/>
      <c r="AR6" s="114"/>
      <c r="AS6" s="114"/>
      <c r="AT6" s="114"/>
      <c r="AU6" s="114"/>
      <c r="AV6" s="114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2"/>
      <c r="CF6" s="40"/>
      <c r="CG6" s="40"/>
      <c r="CH6" s="40"/>
      <c r="CI6" s="40"/>
      <c r="CJ6" s="40"/>
      <c r="CK6" s="43"/>
    </row>
    <row r="7" spans="1:90" s="35" customFormat="1" ht="21" customHeight="1">
      <c r="A7" s="127"/>
      <c r="B7" s="129"/>
      <c r="C7" s="40" t="s">
        <v>151</v>
      </c>
      <c r="D7" s="40" t="s">
        <v>152</v>
      </c>
      <c r="E7" s="40" t="s">
        <v>151</v>
      </c>
      <c r="F7" s="40" t="s">
        <v>151</v>
      </c>
      <c r="G7" s="40" t="s">
        <v>152</v>
      </c>
      <c r="H7" s="40" t="s">
        <v>151</v>
      </c>
      <c r="I7" s="40" t="s">
        <v>151</v>
      </c>
      <c r="J7" s="40" t="s">
        <v>152</v>
      </c>
      <c r="K7" s="40" t="s">
        <v>151</v>
      </c>
      <c r="L7" s="40" t="s">
        <v>151</v>
      </c>
      <c r="M7" s="40" t="s">
        <v>152</v>
      </c>
      <c r="N7" s="40" t="s">
        <v>151</v>
      </c>
      <c r="O7" s="40" t="s">
        <v>151</v>
      </c>
      <c r="P7" s="40" t="s">
        <v>152</v>
      </c>
      <c r="Q7" s="40" t="s">
        <v>151</v>
      </c>
      <c r="R7" s="40" t="s">
        <v>151</v>
      </c>
      <c r="S7" s="40" t="s">
        <v>152</v>
      </c>
      <c r="T7" s="40" t="s">
        <v>151</v>
      </c>
      <c r="U7" s="40" t="s">
        <v>153</v>
      </c>
      <c r="V7" s="40" t="s">
        <v>154</v>
      </c>
      <c r="W7" s="40" t="s">
        <v>155</v>
      </c>
      <c r="X7" s="40" t="s">
        <v>155</v>
      </c>
      <c r="Y7" s="40" t="s">
        <v>154</v>
      </c>
      <c r="Z7" s="40" t="s">
        <v>155</v>
      </c>
      <c r="AA7" s="40" t="s">
        <v>155</v>
      </c>
      <c r="AB7" s="40" t="s">
        <v>154</v>
      </c>
      <c r="AC7" s="40" t="s">
        <v>155</v>
      </c>
      <c r="AD7" s="40" t="s">
        <v>155</v>
      </c>
      <c r="AE7" s="40" t="s">
        <v>154</v>
      </c>
      <c r="AF7" s="40" t="s">
        <v>155</v>
      </c>
      <c r="AG7" s="40" t="s">
        <v>155</v>
      </c>
      <c r="AH7" s="40" t="s">
        <v>154</v>
      </c>
      <c r="AI7" s="40" t="s">
        <v>155</v>
      </c>
      <c r="AJ7" s="40" t="s">
        <v>155</v>
      </c>
      <c r="AK7" s="40" t="s">
        <v>154</v>
      </c>
      <c r="AL7" s="40" t="s">
        <v>155</v>
      </c>
      <c r="AM7" s="40" t="s">
        <v>155</v>
      </c>
      <c r="AN7" s="40" t="s">
        <v>154</v>
      </c>
      <c r="AO7" s="40" t="s">
        <v>155</v>
      </c>
      <c r="AP7" s="122"/>
      <c r="AQ7" s="115"/>
      <c r="AR7" s="115"/>
      <c r="AS7" s="115"/>
      <c r="AT7" s="115"/>
      <c r="AU7" s="115"/>
      <c r="AV7" s="115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2"/>
      <c r="CF7" s="40"/>
      <c r="CG7" s="40"/>
      <c r="CH7" s="40"/>
      <c r="CI7" s="40"/>
      <c r="CJ7" s="40"/>
      <c r="CK7" s="43"/>
    </row>
    <row r="8" spans="1:90" s="35" customFormat="1" ht="30.75" customHeight="1">
      <c r="A8" s="44">
        <v>1</v>
      </c>
      <c r="B8" s="45" t="s">
        <v>156</v>
      </c>
      <c r="C8" s="46">
        <v>151</v>
      </c>
      <c r="D8" s="46">
        <v>125</v>
      </c>
      <c r="E8" s="46">
        <v>151</v>
      </c>
      <c r="F8" s="46">
        <v>6</v>
      </c>
      <c r="G8" s="46">
        <v>6</v>
      </c>
      <c r="H8" s="46">
        <v>6</v>
      </c>
      <c r="I8" s="46">
        <v>0</v>
      </c>
      <c r="J8" s="46">
        <v>0</v>
      </c>
      <c r="K8" s="46">
        <v>0</v>
      </c>
      <c r="L8" s="46">
        <v>135</v>
      </c>
      <c r="M8" s="46">
        <v>111</v>
      </c>
      <c r="N8" s="46">
        <v>135</v>
      </c>
      <c r="O8" s="46">
        <v>10</v>
      </c>
      <c r="P8" s="46">
        <v>8</v>
      </c>
      <c r="Q8" s="46">
        <v>10</v>
      </c>
      <c r="R8" s="46">
        <f>'[1]МРОТ с мая '!C17+'[1]МРОТ с мая '!J17</f>
        <v>2</v>
      </c>
      <c r="S8" s="46">
        <v>0</v>
      </c>
      <c r="T8" s="46">
        <f>R8</f>
        <v>2</v>
      </c>
      <c r="U8" s="47">
        <f>[1]расходы!C9</f>
        <v>55273.979999999996</v>
      </c>
      <c r="V8" s="47">
        <v>0</v>
      </c>
      <c r="W8" s="47">
        <f>[1]расходы!D9</f>
        <v>59082.793058099996</v>
      </c>
      <c r="X8" s="47">
        <f>[1]расходы!E9</f>
        <v>33666.699999999997</v>
      </c>
      <c r="Y8" s="47">
        <v>0</v>
      </c>
      <c r="Z8" s="47">
        <f>[1]расходы!F9</f>
        <v>33666.699999999997</v>
      </c>
      <c r="AA8" s="47">
        <v>2623.3</v>
      </c>
      <c r="AB8" s="47">
        <v>0</v>
      </c>
      <c r="AC8" s="47">
        <v>2623.3</v>
      </c>
      <c r="AD8" s="47">
        <v>0</v>
      </c>
      <c r="AE8" s="47">
        <v>0</v>
      </c>
      <c r="AF8" s="47">
        <v>0</v>
      </c>
      <c r="AG8" s="47">
        <v>29694</v>
      </c>
      <c r="AH8" s="48">
        <v>0</v>
      </c>
      <c r="AI8" s="47">
        <v>29694</v>
      </c>
      <c r="AJ8" s="49">
        <v>1349.4</v>
      </c>
      <c r="AK8" s="47">
        <v>0</v>
      </c>
      <c r="AL8" s="47">
        <v>1349.4</v>
      </c>
      <c r="AM8" s="49">
        <f>'[1]МРОТ с мая '!U17</f>
        <v>266.464</v>
      </c>
      <c r="AN8" s="47">
        <v>0</v>
      </c>
      <c r="AO8" s="47">
        <f>'[1]МРОТ с мая '!V17</f>
        <v>267.91200000000003</v>
      </c>
      <c r="AP8" s="50">
        <v>8449</v>
      </c>
      <c r="AQ8" s="50">
        <v>1608.6</v>
      </c>
      <c r="AR8" s="51">
        <v>2</v>
      </c>
      <c r="AS8" s="50">
        <v>230.5</v>
      </c>
      <c r="AT8" s="50">
        <v>230.5</v>
      </c>
      <c r="AU8" s="50">
        <v>30</v>
      </c>
      <c r="AV8" s="43" t="s">
        <v>157</v>
      </c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2"/>
      <c r="CF8" s="40"/>
      <c r="CG8" s="40"/>
      <c r="CH8" s="40"/>
      <c r="CI8" s="40"/>
      <c r="CJ8" s="40"/>
      <c r="CK8" s="43"/>
    </row>
    <row r="9" spans="1:90" s="35" customFormat="1" ht="30.75" customHeight="1">
      <c r="A9" s="44">
        <v>1</v>
      </c>
      <c r="B9" s="52" t="s">
        <v>30</v>
      </c>
      <c r="C9" s="46">
        <v>356</v>
      </c>
      <c r="D9" s="46">
        <v>326</v>
      </c>
      <c r="E9" s="46">
        <v>356</v>
      </c>
      <c r="F9" s="46">
        <v>8</v>
      </c>
      <c r="G9" s="46">
        <v>8</v>
      </c>
      <c r="H9" s="46">
        <v>8</v>
      </c>
      <c r="I9" s="46">
        <v>0</v>
      </c>
      <c r="J9" s="46">
        <v>0</v>
      </c>
      <c r="K9" s="46">
        <v>0</v>
      </c>
      <c r="L9" s="46">
        <v>215.5</v>
      </c>
      <c r="M9" s="46">
        <v>200.5</v>
      </c>
      <c r="N9" s="47">
        <v>215.5</v>
      </c>
      <c r="O9" s="46">
        <v>132.5</v>
      </c>
      <c r="P9" s="47">
        <v>117.5</v>
      </c>
      <c r="Q9" s="47">
        <v>132.5</v>
      </c>
      <c r="R9" s="46">
        <f>'[1]МРОТ с мая '!C18+'[1]МРОТ с мая '!J18</f>
        <v>142</v>
      </c>
      <c r="S9" s="46">
        <v>142</v>
      </c>
      <c r="T9" s="46">
        <f>R9</f>
        <v>142</v>
      </c>
      <c r="U9" s="47">
        <f>[1]расходы!C10</f>
        <v>114939.65</v>
      </c>
      <c r="V9" s="47">
        <v>700.22</v>
      </c>
      <c r="W9" s="47">
        <f>[1]расходы!D10</f>
        <v>145797.15635477199</v>
      </c>
      <c r="X9" s="47">
        <f>[1]расходы!E10</f>
        <v>70219.3</v>
      </c>
      <c r="Y9" s="47">
        <v>50</v>
      </c>
      <c r="Z9" s="47">
        <f>[1]расходы!F10</f>
        <v>70444.042536000008</v>
      </c>
      <c r="AA9" s="47">
        <v>3026.4</v>
      </c>
      <c r="AB9" s="47">
        <v>0</v>
      </c>
      <c r="AC9" s="47">
        <v>3026.4</v>
      </c>
      <c r="AD9" s="47">
        <v>0</v>
      </c>
      <c r="AE9" s="47">
        <v>0</v>
      </c>
      <c r="AF9" s="47">
        <v>0</v>
      </c>
      <c r="AG9" s="47">
        <v>48233.7</v>
      </c>
      <c r="AH9" s="48">
        <v>50</v>
      </c>
      <c r="AI9" s="47">
        <v>48132.600000000006</v>
      </c>
      <c r="AJ9" s="49">
        <v>18959.211000000003</v>
      </c>
      <c r="AK9" s="47">
        <v>0</v>
      </c>
      <c r="AL9" s="47">
        <v>19285.099999999999</v>
      </c>
      <c r="AM9" s="49">
        <f>'[1]МРОТ с мая '!U18</f>
        <v>18504.835119999996</v>
      </c>
      <c r="AN9" s="47">
        <v>0</v>
      </c>
      <c r="AO9" s="47">
        <f>'[1]МРОТ с мая '!V18</f>
        <v>19628.572680000005</v>
      </c>
      <c r="AP9" s="50">
        <v>119596.2</v>
      </c>
      <c r="AQ9" s="50">
        <v>50348</v>
      </c>
      <c r="AR9" s="51">
        <v>1</v>
      </c>
      <c r="AS9" s="50">
        <v>3603</v>
      </c>
      <c r="AT9" s="50">
        <v>2419</v>
      </c>
      <c r="AU9" s="50">
        <v>1286</v>
      </c>
      <c r="AV9" s="53" t="s">
        <v>158</v>
      </c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2"/>
      <c r="CF9" s="40"/>
      <c r="CG9" s="40"/>
      <c r="CH9" s="40"/>
      <c r="CI9" s="40"/>
      <c r="CJ9" s="40"/>
      <c r="CK9" s="43"/>
    </row>
    <row r="10" spans="1:90" s="35" customFormat="1" ht="32.25" customHeight="1">
      <c r="A10" s="44">
        <v>2</v>
      </c>
      <c r="B10" s="52" t="s">
        <v>33</v>
      </c>
      <c r="C10" s="46">
        <v>69</v>
      </c>
      <c r="D10" s="46">
        <v>59</v>
      </c>
      <c r="E10" s="46">
        <v>69</v>
      </c>
      <c r="F10" s="46">
        <v>5</v>
      </c>
      <c r="G10" s="46">
        <v>5</v>
      </c>
      <c r="H10" s="46">
        <v>5</v>
      </c>
      <c r="I10" s="46">
        <v>0</v>
      </c>
      <c r="J10" s="46">
        <v>0</v>
      </c>
      <c r="K10" s="46">
        <v>0</v>
      </c>
      <c r="L10" s="46">
        <v>42</v>
      </c>
      <c r="M10" s="46">
        <v>41</v>
      </c>
      <c r="N10" s="46">
        <v>42</v>
      </c>
      <c r="O10" s="46">
        <v>22</v>
      </c>
      <c r="P10" s="46">
        <v>13</v>
      </c>
      <c r="Q10" s="46">
        <v>22</v>
      </c>
      <c r="R10" s="46">
        <f>'[1]МРОТ с мая '!C34+'[1]МРОТ с мая '!J34</f>
        <v>33.5</v>
      </c>
      <c r="S10" s="46">
        <v>28</v>
      </c>
      <c r="T10" s="46">
        <f>R10</f>
        <v>33.5</v>
      </c>
      <c r="U10" s="47">
        <f>[1]расходы!C11</f>
        <v>23291.011624000002</v>
      </c>
      <c r="V10" s="47">
        <v>965.4</v>
      </c>
      <c r="W10" s="47">
        <f>[1]расходы!D11</f>
        <v>109175.7820257</v>
      </c>
      <c r="X10" s="47">
        <f>[1]расходы!E11</f>
        <v>14988.300000000001</v>
      </c>
      <c r="Y10" s="47">
        <v>30</v>
      </c>
      <c r="Z10" s="47">
        <f>[1]расходы!F11</f>
        <v>15522.069152073733</v>
      </c>
      <c r="AA10" s="47">
        <v>2225.6</v>
      </c>
      <c r="AB10" s="47">
        <v>0</v>
      </c>
      <c r="AC10" s="47">
        <v>2225.6</v>
      </c>
      <c r="AD10" s="47">
        <v>0</v>
      </c>
      <c r="AE10" s="47">
        <v>0</v>
      </c>
      <c r="AF10" s="47">
        <v>0</v>
      </c>
      <c r="AG10" s="47">
        <v>9705.2000000000007</v>
      </c>
      <c r="AH10" s="48">
        <v>30</v>
      </c>
      <c r="AI10" s="47">
        <v>10130.31</v>
      </c>
      <c r="AJ10" s="49">
        <v>3057.6</v>
      </c>
      <c r="AK10" s="47">
        <v>0</v>
      </c>
      <c r="AL10" s="47">
        <v>3166.5899999999997</v>
      </c>
      <c r="AM10" s="49">
        <f>'[1]МРОТ с мая '!U34</f>
        <v>4281.5220000000008</v>
      </c>
      <c r="AN10" s="47">
        <v>0</v>
      </c>
      <c r="AO10" s="47">
        <f>'[1]МРОТ с мая '!V34</f>
        <v>4487.5259999999998</v>
      </c>
      <c r="AP10" s="50">
        <v>11133.7</v>
      </c>
      <c r="AQ10" s="50">
        <v>4807.6000000000004</v>
      </c>
      <c r="AR10" s="51">
        <v>2</v>
      </c>
      <c r="AS10" s="50">
        <v>1781.6</v>
      </c>
      <c r="AT10" s="50">
        <v>1270.4000000000001</v>
      </c>
      <c r="AU10" s="50">
        <v>0</v>
      </c>
      <c r="AV10" s="54" t="s">
        <v>159</v>
      </c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2"/>
      <c r="CF10" s="40"/>
      <c r="CG10" s="40"/>
      <c r="CH10" s="40"/>
      <c r="CI10" s="40"/>
      <c r="CJ10" s="40"/>
      <c r="CK10" s="43"/>
    </row>
    <row r="11" spans="1:90" s="35" customFormat="1" ht="45" customHeight="1">
      <c r="A11" s="44">
        <v>3</v>
      </c>
      <c r="B11" s="52" t="s">
        <v>36</v>
      </c>
      <c r="C11" s="46">
        <v>127</v>
      </c>
      <c r="D11" s="46">
        <v>119</v>
      </c>
      <c r="E11" s="46">
        <v>127</v>
      </c>
      <c r="F11" s="51">
        <v>6</v>
      </c>
      <c r="G11" s="51">
        <v>6</v>
      </c>
      <c r="H11" s="51">
        <v>6</v>
      </c>
      <c r="I11" s="46">
        <v>0</v>
      </c>
      <c r="J11" s="46">
        <v>0</v>
      </c>
      <c r="K11" s="46">
        <v>0</v>
      </c>
      <c r="L11" s="51">
        <v>89</v>
      </c>
      <c r="M11" s="51">
        <v>81</v>
      </c>
      <c r="N11" s="51">
        <v>89</v>
      </c>
      <c r="O11" s="51">
        <v>32</v>
      </c>
      <c r="P11" s="51">
        <v>32</v>
      </c>
      <c r="Q11" s="51">
        <v>32</v>
      </c>
      <c r="R11" s="46">
        <f>'[1]МРОТ с мая '!C35+'[1]МРОТ с мая '!J35</f>
        <v>40</v>
      </c>
      <c r="S11" s="51">
        <v>40</v>
      </c>
      <c r="T11" s="46">
        <f t="shared" ref="T11:T41" si="0">R11</f>
        <v>40</v>
      </c>
      <c r="U11" s="47">
        <f>[1]расходы!C12</f>
        <v>45628.320000000007</v>
      </c>
      <c r="V11" s="47">
        <v>1755</v>
      </c>
      <c r="W11" s="47">
        <f>[1]расходы!D12</f>
        <v>69480.023981200007</v>
      </c>
      <c r="X11" s="47">
        <f>[1]расходы!E12</f>
        <v>30628.45</v>
      </c>
      <c r="Y11" s="47">
        <v>300</v>
      </c>
      <c r="Z11" s="47">
        <f>[1]расходы!F12</f>
        <v>30813.813600000001</v>
      </c>
      <c r="AA11" s="50">
        <v>2795.2</v>
      </c>
      <c r="AB11" s="47">
        <v>0</v>
      </c>
      <c r="AC11" s="50">
        <v>2795.2</v>
      </c>
      <c r="AD11" s="47">
        <v>0</v>
      </c>
      <c r="AE11" s="47">
        <v>0</v>
      </c>
      <c r="AF11" s="47">
        <v>0</v>
      </c>
      <c r="AG11" s="50">
        <v>21488</v>
      </c>
      <c r="AH11" s="48">
        <v>300</v>
      </c>
      <c r="AI11" s="47">
        <v>21633.599999999999</v>
      </c>
      <c r="AJ11" s="55">
        <v>6345.3</v>
      </c>
      <c r="AK11" s="47">
        <v>0</v>
      </c>
      <c r="AL11" s="47">
        <v>6385.3</v>
      </c>
      <c r="AM11" s="49">
        <f>'[1]МРОТ с мая '!U35</f>
        <v>5093.424</v>
      </c>
      <c r="AN11" s="47">
        <v>0</v>
      </c>
      <c r="AO11" s="47">
        <f>'[1]МРОТ с мая '!V35</f>
        <v>5358.24</v>
      </c>
      <c r="AP11" s="50">
        <v>4232.6000000000004</v>
      </c>
      <c r="AQ11" s="50">
        <v>514.70000000000005</v>
      </c>
      <c r="AR11" s="51">
        <v>3</v>
      </c>
      <c r="AS11" s="50">
        <v>11679</v>
      </c>
      <c r="AT11" s="50">
        <v>3607</v>
      </c>
      <c r="AU11" s="50">
        <v>8072</v>
      </c>
      <c r="AV11" s="53" t="s">
        <v>160</v>
      </c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2"/>
      <c r="CF11" s="40"/>
      <c r="CG11" s="40"/>
      <c r="CH11" s="40"/>
      <c r="CI11" s="40"/>
      <c r="CJ11" s="40"/>
      <c r="CK11" s="43"/>
    </row>
    <row r="12" spans="1:90" s="35" customFormat="1" ht="30" customHeight="1">
      <c r="A12" s="44">
        <v>4</v>
      </c>
      <c r="B12" s="52" t="s">
        <v>39</v>
      </c>
      <c r="C12" s="46">
        <v>29</v>
      </c>
      <c r="D12" s="46">
        <v>29</v>
      </c>
      <c r="E12" s="46">
        <v>29</v>
      </c>
      <c r="F12" s="46">
        <v>5</v>
      </c>
      <c r="G12" s="46">
        <v>5</v>
      </c>
      <c r="H12" s="46">
        <v>5</v>
      </c>
      <c r="I12" s="46">
        <v>0</v>
      </c>
      <c r="J12" s="46">
        <v>0</v>
      </c>
      <c r="K12" s="46">
        <v>0</v>
      </c>
      <c r="L12" s="46">
        <v>13</v>
      </c>
      <c r="M12" s="46">
        <v>11</v>
      </c>
      <c r="N12" s="46">
        <v>13</v>
      </c>
      <c r="O12" s="46">
        <v>11</v>
      </c>
      <c r="P12" s="46">
        <v>13</v>
      </c>
      <c r="Q12" s="46">
        <v>11</v>
      </c>
      <c r="R12" s="46">
        <f>'[1]МРОТ с мая '!C36+'[1]МРОТ с мая '!J36</f>
        <v>8</v>
      </c>
      <c r="S12" s="46">
        <v>8</v>
      </c>
      <c r="T12" s="46">
        <f t="shared" si="0"/>
        <v>8</v>
      </c>
      <c r="U12" s="47">
        <f>[1]расходы!C13</f>
        <v>10491.470000000001</v>
      </c>
      <c r="V12" s="47">
        <v>79</v>
      </c>
      <c r="W12" s="47">
        <f>[1]расходы!D13</f>
        <v>30164.281879000002</v>
      </c>
      <c r="X12" s="47">
        <f>[1]расходы!E13</f>
        <v>7354.65</v>
      </c>
      <c r="Y12" s="47">
        <v>6.07</v>
      </c>
      <c r="Z12" s="47">
        <f>[1]расходы!F13</f>
        <v>7381.4519999999993</v>
      </c>
      <c r="AA12" s="47">
        <v>2890.4</v>
      </c>
      <c r="AB12" s="47">
        <v>0</v>
      </c>
      <c r="AC12" s="47">
        <v>2890.4</v>
      </c>
      <c r="AD12" s="47">
        <v>0</v>
      </c>
      <c r="AE12" s="47">
        <v>0</v>
      </c>
      <c r="AF12" s="47">
        <v>0</v>
      </c>
      <c r="AG12" s="47">
        <v>2949.2</v>
      </c>
      <c r="AH12" s="48">
        <v>6.07</v>
      </c>
      <c r="AI12" s="47">
        <v>2970.6</v>
      </c>
      <c r="AJ12" s="49">
        <v>1515.1</v>
      </c>
      <c r="AK12" s="47">
        <v>0</v>
      </c>
      <c r="AL12" s="47">
        <v>1520.7</v>
      </c>
      <c r="AM12" s="49">
        <f>'[1]МРОТ с мая '!U36</f>
        <v>1018.0799999999999</v>
      </c>
      <c r="AN12" s="47">
        <v>0</v>
      </c>
      <c r="AO12" s="47">
        <f>'[1]МРОТ с мая '!V36</f>
        <v>1071.6480000000001</v>
      </c>
      <c r="AP12" s="50">
        <v>4442.4479199999996</v>
      </c>
      <c r="AQ12" s="50">
        <v>480.0111</v>
      </c>
      <c r="AR12" s="51">
        <v>2</v>
      </c>
      <c r="AS12" s="56"/>
      <c r="AT12" s="56"/>
      <c r="AU12" s="56"/>
      <c r="AV12" s="53" t="s">
        <v>160</v>
      </c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2"/>
      <c r="CF12" s="40"/>
      <c r="CG12" s="40"/>
      <c r="CH12" s="40"/>
      <c r="CI12" s="40"/>
      <c r="CJ12" s="40"/>
      <c r="CK12" s="43"/>
    </row>
    <row r="13" spans="1:90" s="35" customFormat="1" ht="30.75" customHeight="1">
      <c r="A13" s="44">
        <v>5</v>
      </c>
      <c r="B13" s="52" t="s">
        <v>42</v>
      </c>
      <c r="C13" s="46">
        <v>35</v>
      </c>
      <c r="D13" s="47">
        <v>30.5</v>
      </c>
      <c r="E13" s="46">
        <v>35</v>
      </c>
      <c r="F13" s="46">
        <v>4</v>
      </c>
      <c r="G13" s="46">
        <v>4</v>
      </c>
      <c r="H13" s="46">
        <v>4</v>
      </c>
      <c r="I13" s="46">
        <v>0</v>
      </c>
      <c r="J13" s="46">
        <v>0</v>
      </c>
      <c r="K13" s="46">
        <v>0</v>
      </c>
      <c r="L13" s="46">
        <v>21</v>
      </c>
      <c r="M13" s="46">
        <v>16</v>
      </c>
      <c r="N13" s="46">
        <v>21</v>
      </c>
      <c r="O13" s="46">
        <v>10</v>
      </c>
      <c r="P13" s="47">
        <v>10.5</v>
      </c>
      <c r="Q13" s="46">
        <v>10</v>
      </c>
      <c r="R13" s="46">
        <f>'[1]МРОТ с мая '!C37+'[1]МРОТ с мая '!J37</f>
        <v>12</v>
      </c>
      <c r="S13" s="46">
        <v>10</v>
      </c>
      <c r="T13" s="46">
        <f t="shared" si="0"/>
        <v>12</v>
      </c>
      <c r="U13" s="47">
        <f>[1]расходы!C14</f>
        <v>12812.359999999999</v>
      </c>
      <c r="V13" s="47">
        <v>120</v>
      </c>
      <c r="W13" s="47">
        <f>[1]расходы!D14</f>
        <v>17757.123823999998</v>
      </c>
      <c r="X13" s="47">
        <f>[1]расходы!E14</f>
        <v>8332.75</v>
      </c>
      <c r="Y13" s="47">
        <v>12</v>
      </c>
      <c r="Z13" s="47">
        <f>[1]расходы!F14</f>
        <v>8368.0920000000006</v>
      </c>
      <c r="AA13" s="47">
        <v>1294</v>
      </c>
      <c r="AB13" s="47">
        <v>0</v>
      </c>
      <c r="AC13" s="47">
        <v>1294</v>
      </c>
      <c r="AD13" s="47">
        <v>0</v>
      </c>
      <c r="AE13" s="47">
        <v>0</v>
      </c>
      <c r="AF13" s="47">
        <v>0</v>
      </c>
      <c r="AG13" s="47">
        <v>5666.3040000000001</v>
      </c>
      <c r="AH13" s="48">
        <v>12</v>
      </c>
      <c r="AI13" s="47">
        <v>5690.3420000000006</v>
      </c>
      <c r="AJ13" s="49">
        <v>1372.4999999999991</v>
      </c>
      <c r="AK13" s="47">
        <v>0</v>
      </c>
      <c r="AL13" s="47">
        <v>1383.81</v>
      </c>
      <c r="AM13" s="49">
        <f>'[1]МРОТ с мая '!U37</f>
        <v>1536.7440000000001</v>
      </c>
      <c r="AN13" s="47">
        <v>0</v>
      </c>
      <c r="AO13" s="47">
        <f>'[1]МРОТ с мая '!V37</f>
        <v>1607.4720000000002</v>
      </c>
      <c r="AP13" s="50">
        <v>3633.299</v>
      </c>
      <c r="AQ13" s="50">
        <v>935.60299999999995</v>
      </c>
      <c r="AR13" s="46">
        <v>0</v>
      </c>
      <c r="AS13" s="47" t="s">
        <v>161</v>
      </c>
      <c r="AT13" s="50">
        <v>645.5</v>
      </c>
      <c r="AU13" s="50">
        <v>20</v>
      </c>
      <c r="AV13" s="57" t="s">
        <v>160</v>
      </c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2"/>
      <c r="CF13" s="40"/>
      <c r="CG13" s="40"/>
      <c r="CH13" s="40"/>
      <c r="CI13" s="40"/>
      <c r="CJ13" s="40"/>
      <c r="CK13" s="43"/>
    </row>
    <row r="14" spans="1:90" s="35" customFormat="1" ht="15">
      <c r="A14" s="44"/>
      <c r="B14" s="58" t="s">
        <v>45</v>
      </c>
      <c r="C14" s="59">
        <f>C9+C10+C11+C12+C13</f>
        <v>616</v>
      </c>
      <c r="D14" s="60">
        <f t="shared" ref="D14:AU14" si="1">D9+D10+D11+D12+D13</f>
        <v>563.5</v>
      </c>
      <c r="E14" s="59">
        <f t="shared" si="1"/>
        <v>616</v>
      </c>
      <c r="F14" s="59">
        <f t="shared" si="1"/>
        <v>28</v>
      </c>
      <c r="G14" s="59">
        <f t="shared" si="1"/>
        <v>28</v>
      </c>
      <c r="H14" s="59">
        <f t="shared" si="1"/>
        <v>28</v>
      </c>
      <c r="I14" s="59">
        <f t="shared" si="1"/>
        <v>0</v>
      </c>
      <c r="J14" s="59">
        <f t="shared" si="1"/>
        <v>0</v>
      </c>
      <c r="K14" s="59">
        <f t="shared" si="1"/>
        <v>0</v>
      </c>
      <c r="L14" s="59">
        <f t="shared" si="1"/>
        <v>380.5</v>
      </c>
      <c r="M14" s="59">
        <f t="shared" si="1"/>
        <v>349.5</v>
      </c>
      <c r="N14" s="60">
        <f t="shared" si="1"/>
        <v>380.5</v>
      </c>
      <c r="O14" s="59">
        <f t="shared" si="1"/>
        <v>207.5</v>
      </c>
      <c r="P14" s="60">
        <f t="shared" si="1"/>
        <v>186</v>
      </c>
      <c r="Q14" s="60">
        <f t="shared" si="1"/>
        <v>207.5</v>
      </c>
      <c r="R14" s="60">
        <f t="shared" si="1"/>
        <v>235.5</v>
      </c>
      <c r="S14" s="60">
        <f t="shared" si="1"/>
        <v>228</v>
      </c>
      <c r="T14" s="60">
        <f t="shared" si="1"/>
        <v>235.5</v>
      </c>
      <c r="U14" s="60">
        <f t="shared" si="1"/>
        <v>207162.81162399999</v>
      </c>
      <c r="V14" s="60">
        <f t="shared" si="1"/>
        <v>3619.62</v>
      </c>
      <c r="W14" s="60">
        <f t="shared" si="1"/>
        <v>372374.36806467199</v>
      </c>
      <c r="X14" s="60">
        <f t="shared" si="1"/>
        <v>131523.45000000001</v>
      </c>
      <c r="Y14" s="60">
        <f t="shared" si="1"/>
        <v>398.07</v>
      </c>
      <c r="Z14" s="60">
        <f t="shared" si="1"/>
        <v>132529.46928807374</v>
      </c>
      <c r="AA14" s="60">
        <f t="shared" si="1"/>
        <v>12231.6</v>
      </c>
      <c r="AB14" s="60">
        <f t="shared" si="1"/>
        <v>0</v>
      </c>
      <c r="AC14" s="60">
        <f t="shared" si="1"/>
        <v>12231.6</v>
      </c>
      <c r="AD14" s="60">
        <f t="shared" si="1"/>
        <v>0</v>
      </c>
      <c r="AE14" s="60">
        <f t="shared" si="1"/>
        <v>0</v>
      </c>
      <c r="AF14" s="60">
        <f t="shared" si="1"/>
        <v>0</v>
      </c>
      <c r="AG14" s="60">
        <f t="shared" si="1"/>
        <v>88042.403999999995</v>
      </c>
      <c r="AH14" s="60">
        <f t="shared" si="1"/>
        <v>398.07</v>
      </c>
      <c r="AI14" s="60">
        <f t="shared" si="1"/>
        <v>88557.452000000019</v>
      </c>
      <c r="AJ14" s="60">
        <f t="shared" si="1"/>
        <v>31249.710999999999</v>
      </c>
      <c r="AK14" s="60">
        <f t="shared" si="1"/>
        <v>0</v>
      </c>
      <c r="AL14" s="60">
        <f t="shared" si="1"/>
        <v>31741.5</v>
      </c>
      <c r="AM14" s="60">
        <f t="shared" si="1"/>
        <v>30434.605119999993</v>
      </c>
      <c r="AN14" s="60">
        <f t="shared" si="1"/>
        <v>0</v>
      </c>
      <c r="AO14" s="60">
        <f t="shared" si="1"/>
        <v>32153.458680000003</v>
      </c>
      <c r="AP14" s="60">
        <f t="shared" si="1"/>
        <v>143038.24692000001</v>
      </c>
      <c r="AQ14" s="60">
        <f t="shared" si="1"/>
        <v>57085.914100000002</v>
      </c>
      <c r="AR14" s="59">
        <f t="shared" si="1"/>
        <v>8</v>
      </c>
      <c r="AS14" s="60">
        <f>AS9+AS10+AS11+AS12+645.5</f>
        <v>17709.099999999999</v>
      </c>
      <c r="AT14" s="60">
        <f t="shared" si="1"/>
        <v>7941.9</v>
      </c>
      <c r="AU14" s="60">
        <f t="shared" si="1"/>
        <v>9378</v>
      </c>
      <c r="AV14" s="6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2"/>
      <c r="CF14" s="40"/>
      <c r="CG14" s="40"/>
      <c r="CH14" s="40"/>
      <c r="CI14" s="40"/>
      <c r="CJ14" s="40"/>
      <c r="CK14" s="43"/>
    </row>
    <row r="15" spans="1:90" s="35" customFormat="1" ht="30.75" customHeight="1">
      <c r="A15" s="44">
        <v>1</v>
      </c>
      <c r="B15" s="52" t="s">
        <v>46</v>
      </c>
      <c r="C15" s="46">
        <v>248</v>
      </c>
      <c r="D15" s="46">
        <v>195</v>
      </c>
      <c r="E15" s="46">
        <v>248</v>
      </c>
      <c r="F15" s="51">
        <v>10</v>
      </c>
      <c r="G15" s="51">
        <v>10</v>
      </c>
      <c r="H15" s="51">
        <v>10</v>
      </c>
      <c r="I15" s="46">
        <v>0</v>
      </c>
      <c r="J15" s="46">
        <v>0</v>
      </c>
      <c r="K15" s="46">
        <v>0</v>
      </c>
      <c r="L15" s="51">
        <v>166</v>
      </c>
      <c r="M15" s="51">
        <v>140</v>
      </c>
      <c r="N15" s="51">
        <v>166</v>
      </c>
      <c r="O15" s="51">
        <v>72</v>
      </c>
      <c r="P15" s="51">
        <v>45</v>
      </c>
      <c r="Q15" s="51">
        <v>72</v>
      </c>
      <c r="R15" s="46">
        <f>'[1]МРОТ с мая '!C39+'[1]МРОТ с мая '!J39</f>
        <v>61</v>
      </c>
      <c r="S15" s="51">
        <v>61</v>
      </c>
      <c r="T15" s="46">
        <f t="shared" si="0"/>
        <v>61</v>
      </c>
      <c r="U15" s="47">
        <f>[1]расходы!C16</f>
        <v>76973.070000000007</v>
      </c>
      <c r="V15" s="47">
        <v>1230.277</v>
      </c>
      <c r="W15" s="47">
        <f>[1]расходы!D16</f>
        <v>76565.649050029984</v>
      </c>
      <c r="X15" s="47">
        <f>[1]расходы!E16</f>
        <v>47050.25</v>
      </c>
      <c r="Y15" s="47">
        <v>107</v>
      </c>
      <c r="Z15" s="47">
        <f>[1]расходы!F16</f>
        <v>47247.978000000003</v>
      </c>
      <c r="AA15" s="47">
        <v>3611.6</v>
      </c>
      <c r="AB15" s="47">
        <v>0</v>
      </c>
      <c r="AC15" s="47">
        <v>3611.6</v>
      </c>
      <c r="AD15" s="47">
        <v>0</v>
      </c>
      <c r="AE15" s="47">
        <v>0</v>
      </c>
      <c r="AF15" s="47">
        <v>0</v>
      </c>
      <c r="AG15" s="47">
        <v>33087.629999999997</v>
      </c>
      <c r="AH15" s="48">
        <v>107</v>
      </c>
      <c r="AI15" s="47">
        <v>33241.839999999997</v>
      </c>
      <c r="AJ15" s="49">
        <v>10351.066000000001</v>
      </c>
      <c r="AK15" s="47">
        <v>0</v>
      </c>
      <c r="AL15" s="47">
        <v>10394.56</v>
      </c>
      <c r="AM15" s="49">
        <f>'[1]МРОТ с мая '!U39</f>
        <v>7775.8640000000014</v>
      </c>
      <c r="AN15" s="47">
        <v>0</v>
      </c>
      <c r="AO15" s="47">
        <f>'[1]МРОТ с мая '!V39</f>
        <v>8171.3159999999998</v>
      </c>
      <c r="AP15" s="50">
        <v>164906.57370000001</v>
      </c>
      <c r="AQ15" s="50">
        <v>66077.479510000005</v>
      </c>
      <c r="AR15" s="51">
        <v>1</v>
      </c>
      <c r="AS15" s="50">
        <v>11577.9</v>
      </c>
      <c r="AT15" s="50">
        <v>11577.9</v>
      </c>
      <c r="AU15" s="50">
        <v>7195.05</v>
      </c>
      <c r="AV15" s="53" t="s">
        <v>159</v>
      </c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2"/>
      <c r="CF15" s="40"/>
      <c r="CG15" s="40"/>
      <c r="CH15" s="40"/>
      <c r="CI15" s="40"/>
      <c r="CJ15" s="40"/>
      <c r="CK15" s="43"/>
    </row>
    <row r="16" spans="1:90" s="35" customFormat="1" ht="28.5" customHeight="1">
      <c r="A16" s="44">
        <v>2</v>
      </c>
      <c r="B16" s="52" t="s">
        <v>49</v>
      </c>
      <c r="C16" s="46">
        <v>41</v>
      </c>
      <c r="D16" s="46">
        <v>37</v>
      </c>
      <c r="E16" s="46">
        <v>41</v>
      </c>
      <c r="F16" s="51">
        <v>3</v>
      </c>
      <c r="G16" s="51">
        <v>3</v>
      </c>
      <c r="H16" s="51">
        <v>3</v>
      </c>
      <c r="I16" s="46">
        <v>0</v>
      </c>
      <c r="J16" s="46">
        <v>0</v>
      </c>
      <c r="K16" s="46">
        <v>0</v>
      </c>
      <c r="L16" s="51">
        <v>31</v>
      </c>
      <c r="M16" s="51">
        <v>31.5</v>
      </c>
      <c r="N16" s="51">
        <v>31</v>
      </c>
      <c r="O16" s="51">
        <v>7</v>
      </c>
      <c r="P16" s="51">
        <v>2.5</v>
      </c>
      <c r="Q16" s="51">
        <v>7</v>
      </c>
      <c r="R16" s="46">
        <f>'[1]МРОТ с мая '!C40+'[1]МРОТ с мая '!J40</f>
        <v>7</v>
      </c>
      <c r="S16" s="51">
        <v>8</v>
      </c>
      <c r="T16" s="46">
        <f t="shared" si="0"/>
        <v>7</v>
      </c>
      <c r="U16" s="47">
        <f>[1]расходы!C17</f>
        <v>13196.825000000003</v>
      </c>
      <c r="V16" s="47">
        <v>0</v>
      </c>
      <c r="W16" s="47">
        <f>[1]расходы!D17</f>
        <v>14231.075172999996</v>
      </c>
      <c r="X16" s="47">
        <f>[1]расходы!E17</f>
        <v>8990.1050000000014</v>
      </c>
      <c r="Y16" s="47">
        <v>0</v>
      </c>
      <c r="Z16" s="47">
        <f>[1]расходы!F17</f>
        <v>9012.2179999999989</v>
      </c>
      <c r="AA16" s="50">
        <v>1042</v>
      </c>
      <c r="AB16" s="50">
        <v>0</v>
      </c>
      <c r="AC16" s="50">
        <v>1042</v>
      </c>
      <c r="AD16" s="47">
        <v>0</v>
      </c>
      <c r="AE16" s="47">
        <v>0</v>
      </c>
      <c r="AF16" s="47">
        <v>0</v>
      </c>
      <c r="AG16" s="50">
        <v>6959.2</v>
      </c>
      <c r="AH16" s="62">
        <v>0</v>
      </c>
      <c r="AI16" s="47">
        <v>6979</v>
      </c>
      <c r="AJ16" s="55">
        <v>988.9</v>
      </c>
      <c r="AK16" s="50">
        <v>0</v>
      </c>
      <c r="AL16" s="47">
        <v>991.3</v>
      </c>
      <c r="AM16" s="49">
        <f>'[1]МРОТ с мая '!U40</f>
        <v>893.48000000000013</v>
      </c>
      <c r="AN16" s="50">
        <v>0</v>
      </c>
      <c r="AO16" s="47">
        <f>'[1]МРОТ с мая '!V40</f>
        <v>937.69200000000001</v>
      </c>
      <c r="AP16" s="50">
        <v>5382.549</v>
      </c>
      <c r="AQ16" s="50">
        <v>108.267</v>
      </c>
      <c r="AR16" s="51">
        <v>1</v>
      </c>
      <c r="AS16" s="50">
        <v>430.9</v>
      </c>
      <c r="AT16" s="50">
        <v>400</v>
      </c>
      <c r="AU16" s="50">
        <v>0</v>
      </c>
      <c r="AV16" s="53" t="s">
        <v>162</v>
      </c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2"/>
      <c r="CF16" s="40"/>
      <c r="CG16" s="40"/>
      <c r="CH16" s="40"/>
      <c r="CI16" s="40"/>
      <c r="CJ16" s="40"/>
      <c r="CK16" s="43"/>
    </row>
    <row r="17" spans="1:89" s="35" customFormat="1" ht="30">
      <c r="A17" s="44">
        <v>3</v>
      </c>
      <c r="B17" s="52" t="s">
        <v>52</v>
      </c>
      <c r="C17" s="46">
        <v>12.5</v>
      </c>
      <c r="D17" s="46">
        <v>12.5</v>
      </c>
      <c r="E17" s="46">
        <v>12.5</v>
      </c>
      <c r="F17" s="46">
        <v>3</v>
      </c>
      <c r="G17" s="46">
        <v>3</v>
      </c>
      <c r="H17" s="46">
        <v>3</v>
      </c>
      <c r="I17" s="46">
        <v>0</v>
      </c>
      <c r="J17" s="46">
        <v>0</v>
      </c>
      <c r="K17" s="46">
        <v>0</v>
      </c>
      <c r="L17" s="46">
        <v>9</v>
      </c>
      <c r="M17" s="46">
        <v>9.5</v>
      </c>
      <c r="N17" s="46">
        <v>9</v>
      </c>
      <c r="O17" s="46">
        <v>0.5</v>
      </c>
      <c r="P17" s="46">
        <v>0</v>
      </c>
      <c r="Q17" s="46">
        <v>0.5</v>
      </c>
      <c r="R17" s="46">
        <f>'[1]МРОТ с мая '!C41+'[1]МРОТ с мая '!J41</f>
        <v>0.5</v>
      </c>
      <c r="S17" s="46">
        <v>0.5</v>
      </c>
      <c r="T17" s="46">
        <f t="shared" si="0"/>
        <v>0.5</v>
      </c>
      <c r="U17" s="47">
        <f>[1]расходы!C18</f>
        <v>4379.1699999999992</v>
      </c>
      <c r="V17" s="47">
        <v>0</v>
      </c>
      <c r="W17" s="47">
        <f>[1]расходы!D18</f>
        <v>7352.680171</v>
      </c>
      <c r="X17" s="47">
        <f>[1]расходы!E18</f>
        <v>3064.8999999999996</v>
      </c>
      <c r="Y17" s="47">
        <v>0</v>
      </c>
      <c r="Z17" s="47">
        <f>[1]расходы!F18</f>
        <v>3068.2439999999997</v>
      </c>
      <c r="AA17" s="47">
        <v>980.8</v>
      </c>
      <c r="AB17" s="47">
        <v>0</v>
      </c>
      <c r="AC17" s="47">
        <v>980.8</v>
      </c>
      <c r="AD17" s="47">
        <v>0</v>
      </c>
      <c r="AE17" s="47">
        <v>0</v>
      </c>
      <c r="AF17" s="47">
        <v>0</v>
      </c>
      <c r="AG17" s="47">
        <v>2020.5</v>
      </c>
      <c r="AH17" s="48"/>
      <c r="AI17" s="47">
        <v>2023.5</v>
      </c>
      <c r="AJ17" s="49">
        <v>63.6</v>
      </c>
      <c r="AK17" s="47">
        <v>0</v>
      </c>
      <c r="AL17" s="47">
        <v>63.7</v>
      </c>
      <c r="AM17" s="49">
        <f>'[1]МРОТ с мая '!U41</f>
        <v>63.629999999999995</v>
      </c>
      <c r="AN17" s="47">
        <v>0</v>
      </c>
      <c r="AO17" s="47">
        <f>'[1]МРОТ с мая '!V41</f>
        <v>66.978000000000009</v>
      </c>
      <c r="AP17" s="50">
        <v>6527.78467</v>
      </c>
      <c r="AQ17" s="50">
        <v>1276.9534100000001</v>
      </c>
      <c r="AR17" s="51">
        <v>0</v>
      </c>
      <c r="AS17" s="50">
        <v>167.9</v>
      </c>
      <c r="AT17" s="50">
        <v>167.9</v>
      </c>
      <c r="AU17" s="50">
        <v>0</v>
      </c>
      <c r="AV17" s="43" t="s">
        <v>158</v>
      </c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2"/>
      <c r="CF17" s="40"/>
      <c r="CG17" s="40"/>
      <c r="CH17" s="40"/>
      <c r="CI17" s="40"/>
      <c r="CJ17" s="40"/>
      <c r="CK17" s="43"/>
    </row>
    <row r="18" spans="1:89" s="35" customFormat="1" ht="15">
      <c r="A18" s="44"/>
      <c r="B18" s="63" t="s">
        <v>55</v>
      </c>
      <c r="C18" s="64">
        <f>C15+C16+C17</f>
        <v>301.5</v>
      </c>
      <c r="D18" s="64">
        <f t="shared" ref="D18:AU18" si="2">D15+D16+D17</f>
        <v>244.5</v>
      </c>
      <c r="E18" s="64">
        <f t="shared" si="2"/>
        <v>301.5</v>
      </c>
      <c r="F18" s="64">
        <f t="shared" si="2"/>
        <v>16</v>
      </c>
      <c r="G18" s="64">
        <f t="shared" si="2"/>
        <v>16</v>
      </c>
      <c r="H18" s="64">
        <f t="shared" si="2"/>
        <v>16</v>
      </c>
      <c r="I18" s="64">
        <f t="shared" si="2"/>
        <v>0</v>
      </c>
      <c r="J18" s="64">
        <f t="shared" si="2"/>
        <v>0</v>
      </c>
      <c r="K18" s="64">
        <f t="shared" si="2"/>
        <v>0</v>
      </c>
      <c r="L18" s="64">
        <f t="shared" si="2"/>
        <v>206</v>
      </c>
      <c r="M18" s="64">
        <f t="shared" si="2"/>
        <v>181</v>
      </c>
      <c r="N18" s="64">
        <f t="shared" si="2"/>
        <v>206</v>
      </c>
      <c r="O18" s="64">
        <f t="shared" si="2"/>
        <v>79.5</v>
      </c>
      <c r="P18" s="64">
        <f t="shared" si="2"/>
        <v>47.5</v>
      </c>
      <c r="Q18" s="64">
        <f t="shared" si="2"/>
        <v>79.5</v>
      </c>
      <c r="R18" s="64">
        <f t="shared" si="2"/>
        <v>68.5</v>
      </c>
      <c r="S18" s="64">
        <f t="shared" si="2"/>
        <v>69.5</v>
      </c>
      <c r="T18" s="64">
        <f t="shared" si="2"/>
        <v>68.5</v>
      </c>
      <c r="U18" s="65">
        <f t="shared" si="2"/>
        <v>94549.065000000002</v>
      </c>
      <c r="V18" s="65">
        <f t="shared" si="2"/>
        <v>1230.277</v>
      </c>
      <c r="W18" s="65">
        <f t="shared" si="2"/>
        <v>98149.404394029974</v>
      </c>
      <c r="X18" s="65">
        <f t="shared" si="2"/>
        <v>59105.255000000005</v>
      </c>
      <c r="Y18" s="65">
        <f t="shared" si="2"/>
        <v>107</v>
      </c>
      <c r="Z18" s="65">
        <f t="shared" si="2"/>
        <v>59328.44</v>
      </c>
      <c r="AA18" s="65">
        <f t="shared" si="2"/>
        <v>5634.4000000000005</v>
      </c>
      <c r="AB18" s="65">
        <f t="shared" si="2"/>
        <v>0</v>
      </c>
      <c r="AC18" s="65">
        <f t="shared" si="2"/>
        <v>5634.4000000000005</v>
      </c>
      <c r="AD18" s="65">
        <f t="shared" si="2"/>
        <v>0</v>
      </c>
      <c r="AE18" s="65">
        <f t="shared" si="2"/>
        <v>0</v>
      </c>
      <c r="AF18" s="65">
        <f t="shared" si="2"/>
        <v>0</v>
      </c>
      <c r="AG18" s="65">
        <f t="shared" si="2"/>
        <v>42067.329999999994</v>
      </c>
      <c r="AH18" s="65">
        <f t="shared" si="2"/>
        <v>107</v>
      </c>
      <c r="AI18" s="65">
        <f t="shared" si="2"/>
        <v>42244.34</v>
      </c>
      <c r="AJ18" s="65">
        <f t="shared" si="2"/>
        <v>11403.566000000001</v>
      </c>
      <c r="AK18" s="65">
        <f t="shared" si="2"/>
        <v>0</v>
      </c>
      <c r="AL18" s="65">
        <f t="shared" si="2"/>
        <v>11449.56</v>
      </c>
      <c r="AM18" s="65">
        <f t="shared" si="2"/>
        <v>8732.9740000000002</v>
      </c>
      <c r="AN18" s="65">
        <f t="shared" si="2"/>
        <v>0</v>
      </c>
      <c r="AO18" s="65">
        <f t="shared" si="2"/>
        <v>9175.985999999999</v>
      </c>
      <c r="AP18" s="65">
        <f t="shared" si="2"/>
        <v>176816.90737</v>
      </c>
      <c r="AQ18" s="65">
        <f t="shared" si="2"/>
        <v>67462.699920000014</v>
      </c>
      <c r="AR18" s="64">
        <f t="shared" si="2"/>
        <v>2</v>
      </c>
      <c r="AS18" s="65">
        <f t="shared" si="2"/>
        <v>12176.699999999999</v>
      </c>
      <c r="AT18" s="65">
        <f t="shared" si="2"/>
        <v>12145.8</v>
      </c>
      <c r="AU18" s="65">
        <f t="shared" si="2"/>
        <v>7195.05</v>
      </c>
      <c r="AV18" s="53"/>
      <c r="AW18" s="66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2"/>
      <c r="CF18" s="40"/>
      <c r="CG18" s="40"/>
      <c r="CH18" s="40"/>
      <c r="CI18" s="40"/>
      <c r="CJ18" s="40"/>
      <c r="CK18" s="43"/>
    </row>
    <row r="19" spans="1:89" s="35" customFormat="1" ht="43.5" customHeight="1">
      <c r="A19" s="44">
        <v>1</v>
      </c>
      <c r="B19" s="67" t="s">
        <v>56</v>
      </c>
      <c r="C19" s="46">
        <v>216</v>
      </c>
      <c r="D19" s="46">
        <v>172</v>
      </c>
      <c r="E19" s="46">
        <v>216</v>
      </c>
      <c r="F19" s="46">
        <v>6</v>
      </c>
      <c r="G19" s="46">
        <v>6</v>
      </c>
      <c r="H19" s="46">
        <v>6</v>
      </c>
      <c r="I19" s="46">
        <v>0</v>
      </c>
      <c r="J19" s="46">
        <v>0</v>
      </c>
      <c r="K19" s="46">
        <v>0</v>
      </c>
      <c r="L19" s="46">
        <v>133</v>
      </c>
      <c r="M19" s="46">
        <v>92</v>
      </c>
      <c r="N19" s="46">
        <v>133</v>
      </c>
      <c r="O19" s="46">
        <v>76</v>
      </c>
      <c r="P19" s="46">
        <v>74</v>
      </c>
      <c r="Q19" s="46">
        <v>76</v>
      </c>
      <c r="R19" s="46">
        <f>'[1]МРОТ с мая '!C43+'[1]МРОТ с мая '!J43</f>
        <v>125</v>
      </c>
      <c r="S19" s="46">
        <v>72</v>
      </c>
      <c r="T19" s="46">
        <f t="shared" si="0"/>
        <v>125</v>
      </c>
      <c r="U19" s="47">
        <f>[1]расходы!C20</f>
        <v>86108.066000000006</v>
      </c>
      <c r="V19" s="47">
        <v>7760</v>
      </c>
      <c r="W19" s="47">
        <f>[1]расходы!D20</f>
        <v>120627.8209854</v>
      </c>
      <c r="X19" s="68">
        <f>[1]расходы!E20</f>
        <v>42483.899999999994</v>
      </c>
      <c r="Y19" s="68">
        <f t="shared" ref="Y19:Y30" si="3">AB19+AH19</f>
        <v>776</v>
      </c>
      <c r="Z19" s="47">
        <f>[1]расходы!F20</f>
        <v>43141.446399999993</v>
      </c>
      <c r="AA19" s="47">
        <v>3032</v>
      </c>
      <c r="AB19" s="47">
        <v>100</v>
      </c>
      <c r="AC19" s="47">
        <v>3032</v>
      </c>
      <c r="AD19" s="47">
        <v>0</v>
      </c>
      <c r="AE19" s="47">
        <v>0</v>
      </c>
      <c r="AF19" s="47">
        <v>0</v>
      </c>
      <c r="AG19" s="47">
        <v>29780.1</v>
      </c>
      <c r="AH19" s="47">
        <v>676</v>
      </c>
      <c r="AI19" s="47">
        <v>29928.7</v>
      </c>
      <c r="AJ19" s="47">
        <v>9671.7999999999993</v>
      </c>
      <c r="AK19" s="47">
        <v>0</v>
      </c>
      <c r="AL19" s="47">
        <v>10180.700000000001</v>
      </c>
      <c r="AM19" s="49">
        <f>'[1]МРОТ с мая '!U43</f>
        <v>15922.564</v>
      </c>
      <c r="AN19" s="50">
        <v>0</v>
      </c>
      <c r="AO19" s="47">
        <f>'[1]МРОТ с мая '!V43</f>
        <v>16744.5</v>
      </c>
      <c r="AP19" s="68">
        <v>305940.40000000002</v>
      </c>
      <c r="AQ19" s="68">
        <v>36520.5</v>
      </c>
      <c r="AR19" s="69">
        <v>8</v>
      </c>
      <c r="AS19" s="68">
        <v>11673.9</v>
      </c>
      <c r="AT19" s="68">
        <v>11673.9</v>
      </c>
      <c r="AU19" s="68">
        <v>7000</v>
      </c>
      <c r="AV19" s="70" t="s">
        <v>159</v>
      </c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2"/>
      <c r="CF19" s="40"/>
      <c r="CG19" s="40"/>
      <c r="CH19" s="40"/>
      <c r="CI19" s="40"/>
      <c r="CJ19" s="40"/>
      <c r="CK19" s="43"/>
    </row>
    <row r="20" spans="1:89" s="35" customFormat="1" ht="30">
      <c r="A20" s="44">
        <v>2</v>
      </c>
      <c r="B20" s="67" t="s">
        <v>59</v>
      </c>
      <c r="C20" s="46">
        <v>177</v>
      </c>
      <c r="D20" s="46">
        <v>132.69999999999999</v>
      </c>
      <c r="E20" s="46">
        <v>177</v>
      </c>
      <c r="F20" s="46">
        <v>5</v>
      </c>
      <c r="G20" s="46">
        <v>4</v>
      </c>
      <c r="H20" s="46">
        <v>5</v>
      </c>
      <c r="I20" s="46">
        <v>0</v>
      </c>
      <c r="J20" s="46">
        <v>0</v>
      </c>
      <c r="K20" s="46">
        <v>0</v>
      </c>
      <c r="L20" s="46">
        <v>128</v>
      </c>
      <c r="M20" s="46">
        <v>80.7</v>
      </c>
      <c r="N20" s="46">
        <v>128</v>
      </c>
      <c r="O20" s="46">
        <v>44</v>
      </c>
      <c r="P20" s="46">
        <v>48</v>
      </c>
      <c r="Q20" s="46">
        <v>44</v>
      </c>
      <c r="R20" s="46">
        <f>'[1]МРОТ с мая '!C44+'[1]МРОТ с мая '!J44</f>
        <v>76</v>
      </c>
      <c r="S20" s="46">
        <v>73</v>
      </c>
      <c r="T20" s="46">
        <f t="shared" si="0"/>
        <v>76</v>
      </c>
      <c r="U20" s="47">
        <f>[1]расходы!C21</f>
        <v>44612.085500000008</v>
      </c>
      <c r="V20" s="47">
        <v>3550</v>
      </c>
      <c r="W20" s="47">
        <f>[1]расходы!D21</f>
        <v>68334.044732200011</v>
      </c>
      <c r="X20" s="68">
        <f>[1]расходы!E21</f>
        <v>32424.27</v>
      </c>
      <c r="Y20" s="68">
        <f t="shared" si="3"/>
        <v>252</v>
      </c>
      <c r="Z20" s="47">
        <f>[1]расходы!F21</f>
        <v>32875.105600000003</v>
      </c>
      <c r="AA20" s="47">
        <v>2228</v>
      </c>
      <c r="AB20" s="47">
        <v>50</v>
      </c>
      <c r="AC20" s="47">
        <v>2228</v>
      </c>
      <c r="AD20" s="47">
        <v>0</v>
      </c>
      <c r="AE20" s="47">
        <v>0</v>
      </c>
      <c r="AF20" s="47">
        <v>0</v>
      </c>
      <c r="AG20" s="47">
        <v>24586.3</v>
      </c>
      <c r="AH20" s="47">
        <v>202</v>
      </c>
      <c r="AI20" s="47">
        <v>24753</v>
      </c>
      <c r="AJ20" s="47">
        <v>5610</v>
      </c>
      <c r="AK20" s="47">
        <v>0</v>
      </c>
      <c r="AL20" s="47">
        <v>5894.1</v>
      </c>
      <c r="AM20" s="49">
        <f>'[1]МРОТ с мая '!U44</f>
        <v>9679.7279999999992</v>
      </c>
      <c r="AN20" s="50">
        <v>0</v>
      </c>
      <c r="AO20" s="47">
        <f>'[1]МРОТ с мая '!V44</f>
        <v>10180.656000000001</v>
      </c>
      <c r="AP20" s="68">
        <v>81578.100000000006</v>
      </c>
      <c r="AQ20" s="68">
        <v>8208.7000000000007</v>
      </c>
      <c r="AR20" s="69">
        <v>7</v>
      </c>
      <c r="AS20" s="68">
        <v>4719.8</v>
      </c>
      <c r="AT20" s="68">
        <v>3294</v>
      </c>
      <c r="AU20" s="68">
        <v>5884</v>
      </c>
      <c r="AV20" s="70" t="s">
        <v>159</v>
      </c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2"/>
      <c r="CF20" s="40"/>
      <c r="CG20" s="40"/>
      <c r="CH20" s="40"/>
      <c r="CI20" s="40"/>
      <c r="CJ20" s="40"/>
      <c r="CK20" s="43"/>
    </row>
    <row r="21" spans="1:89" s="35" customFormat="1" ht="45" customHeight="1">
      <c r="A21" s="44">
        <v>3</v>
      </c>
      <c r="B21" s="67" t="s">
        <v>62</v>
      </c>
      <c r="C21" s="46">
        <v>177</v>
      </c>
      <c r="D21" s="46">
        <v>136.1</v>
      </c>
      <c r="E21" s="46">
        <v>177</v>
      </c>
      <c r="F21" s="46">
        <v>5</v>
      </c>
      <c r="G21" s="46">
        <v>5</v>
      </c>
      <c r="H21" s="46">
        <v>5</v>
      </c>
      <c r="I21" s="46">
        <v>0</v>
      </c>
      <c r="J21" s="46">
        <v>0</v>
      </c>
      <c r="K21" s="46">
        <v>0</v>
      </c>
      <c r="L21" s="46">
        <v>133</v>
      </c>
      <c r="M21" s="46">
        <v>81.8</v>
      </c>
      <c r="N21" s="46">
        <v>133</v>
      </c>
      <c r="O21" s="46">
        <v>59</v>
      </c>
      <c r="P21" s="46">
        <v>49.3</v>
      </c>
      <c r="Q21" s="46">
        <v>59</v>
      </c>
      <c r="R21" s="46">
        <f>'[1]МРОТ с мая '!C45+'[1]МРОТ с мая '!J45</f>
        <v>101</v>
      </c>
      <c r="S21" s="46">
        <v>98</v>
      </c>
      <c r="T21" s="46">
        <f t="shared" si="0"/>
        <v>101</v>
      </c>
      <c r="U21" s="47">
        <f>[1]расходы!C22</f>
        <v>48445.734000000011</v>
      </c>
      <c r="V21" s="47">
        <v>3000</v>
      </c>
      <c r="W21" s="47">
        <f>[1]расходы!D22</f>
        <v>81437.516069399993</v>
      </c>
      <c r="X21" s="68">
        <f>[1]расходы!E22</f>
        <v>32317.95</v>
      </c>
      <c r="Y21" s="68">
        <f t="shared" si="3"/>
        <v>236</v>
      </c>
      <c r="Z21" s="47">
        <f>[1]расходы!F22</f>
        <v>32782.17773333333</v>
      </c>
      <c r="AA21" s="47">
        <v>2243</v>
      </c>
      <c r="AB21" s="47">
        <v>50</v>
      </c>
      <c r="AC21" s="47">
        <v>2243</v>
      </c>
      <c r="AD21" s="47">
        <v>0</v>
      </c>
      <c r="AE21" s="47">
        <v>0</v>
      </c>
      <c r="AF21" s="47">
        <v>0</v>
      </c>
      <c r="AG21" s="47">
        <v>22555</v>
      </c>
      <c r="AH21" s="47">
        <v>186</v>
      </c>
      <c r="AI21" s="47">
        <v>22635.7</v>
      </c>
      <c r="AJ21" s="47">
        <v>7520</v>
      </c>
      <c r="AK21" s="47">
        <v>0</v>
      </c>
      <c r="AL21" s="47">
        <v>7903.5</v>
      </c>
      <c r="AM21" s="49">
        <f>'[1]МРОТ с мая '!U45</f>
        <v>12866.376126984127</v>
      </c>
      <c r="AN21" s="50">
        <v>0</v>
      </c>
      <c r="AO21" s="47">
        <f>'[1]МРОТ с мая '!V45</f>
        <v>13529.556</v>
      </c>
      <c r="AP21" s="68">
        <v>168428.9</v>
      </c>
      <c r="AQ21" s="68">
        <v>107675.6</v>
      </c>
      <c r="AR21" s="69">
        <v>6</v>
      </c>
      <c r="AS21" s="68">
        <v>4594.16</v>
      </c>
      <c r="AT21" s="68">
        <v>4594.16</v>
      </c>
      <c r="AU21" s="68">
        <v>3066.2</v>
      </c>
      <c r="AV21" s="70" t="s">
        <v>159</v>
      </c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2"/>
      <c r="CF21" s="40"/>
      <c r="CG21" s="40"/>
      <c r="CH21" s="40"/>
      <c r="CI21" s="40"/>
      <c r="CJ21" s="40"/>
      <c r="CK21" s="43"/>
    </row>
    <row r="22" spans="1:89" s="35" customFormat="1" ht="45.75" customHeight="1">
      <c r="A22" s="44">
        <v>4</v>
      </c>
      <c r="B22" s="67" t="s">
        <v>64</v>
      </c>
      <c r="C22" s="46">
        <v>144</v>
      </c>
      <c r="D22" s="46">
        <v>115.5</v>
      </c>
      <c r="E22" s="46">
        <v>144</v>
      </c>
      <c r="F22" s="46">
        <v>4</v>
      </c>
      <c r="G22" s="46">
        <v>4</v>
      </c>
      <c r="H22" s="46">
        <v>4</v>
      </c>
      <c r="I22" s="46">
        <v>0</v>
      </c>
      <c r="J22" s="46">
        <v>0</v>
      </c>
      <c r="K22" s="46">
        <v>0</v>
      </c>
      <c r="L22" s="46">
        <v>85</v>
      </c>
      <c r="M22" s="46">
        <v>72</v>
      </c>
      <c r="N22" s="46">
        <v>85</v>
      </c>
      <c r="O22" s="46">
        <v>55</v>
      </c>
      <c r="P22" s="46">
        <v>39.5</v>
      </c>
      <c r="Q22" s="46">
        <v>55</v>
      </c>
      <c r="R22" s="46">
        <f>'[1]МРОТ с мая '!C46+'[1]МРОТ с мая '!J46</f>
        <v>44</v>
      </c>
      <c r="S22" s="46">
        <v>25</v>
      </c>
      <c r="T22" s="46">
        <f t="shared" si="0"/>
        <v>44</v>
      </c>
      <c r="U22" s="47">
        <f>[1]расходы!C23</f>
        <v>41579.351999999992</v>
      </c>
      <c r="V22" s="47">
        <v>1225</v>
      </c>
      <c r="W22" s="47">
        <f>[1]расходы!D23</f>
        <v>50722.624017999988</v>
      </c>
      <c r="X22" s="68">
        <f>[1]расходы!E23</f>
        <v>28978.6</v>
      </c>
      <c r="Y22" s="68">
        <f t="shared" si="3"/>
        <v>123</v>
      </c>
      <c r="Z22" s="47">
        <f>[1]расходы!F23</f>
        <v>28978.6</v>
      </c>
      <c r="AA22" s="47">
        <v>1954</v>
      </c>
      <c r="AB22" s="47">
        <v>0</v>
      </c>
      <c r="AC22" s="47">
        <v>1954</v>
      </c>
      <c r="AD22" s="47">
        <v>0</v>
      </c>
      <c r="AE22" s="47">
        <v>0</v>
      </c>
      <c r="AF22" s="47">
        <v>0</v>
      </c>
      <c r="AG22" s="47">
        <v>20014.599999999999</v>
      </c>
      <c r="AH22" s="47">
        <v>123</v>
      </c>
      <c r="AI22" s="47">
        <v>19656.599999999999</v>
      </c>
      <c r="AJ22" s="47">
        <v>7010</v>
      </c>
      <c r="AK22" s="47">
        <v>0</v>
      </c>
      <c r="AL22" s="47">
        <v>7368</v>
      </c>
      <c r="AM22" s="49">
        <f>'[1]МРОТ с мая '!U46</f>
        <v>5599.4400000000005</v>
      </c>
      <c r="AN22" s="50">
        <v>0</v>
      </c>
      <c r="AO22" s="47">
        <f>'[1]МРОТ с мая '!V46</f>
        <v>5894.0640000000003</v>
      </c>
      <c r="AP22" s="68">
        <v>115949</v>
      </c>
      <c r="AQ22" s="68">
        <v>85045.1</v>
      </c>
      <c r="AR22" s="69">
        <v>6</v>
      </c>
      <c r="AS22" s="68">
        <v>2690</v>
      </c>
      <c r="AT22" s="68">
        <v>2690</v>
      </c>
      <c r="AU22" s="68">
        <v>4710</v>
      </c>
      <c r="AV22" s="71" t="s">
        <v>158</v>
      </c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2"/>
      <c r="CF22" s="40"/>
      <c r="CG22" s="40"/>
      <c r="CH22" s="40"/>
      <c r="CI22" s="40"/>
      <c r="CJ22" s="40"/>
      <c r="CK22" s="43"/>
    </row>
    <row r="23" spans="1:89" s="35" customFormat="1" ht="47.25" customHeight="1">
      <c r="A23" s="44">
        <v>5</v>
      </c>
      <c r="B23" s="72" t="s">
        <v>67</v>
      </c>
      <c r="C23" s="46">
        <v>99</v>
      </c>
      <c r="D23" s="46">
        <v>78</v>
      </c>
      <c r="E23" s="46">
        <v>99</v>
      </c>
      <c r="F23" s="46">
        <v>5</v>
      </c>
      <c r="G23" s="46">
        <v>5</v>
      </c>
      <c r="H23" s="46">
        <v>5</v>
      </c>
      <c r="I23" s="46">
        <v>0</v>
      </c>
      <c r="J23" s="46">
        <v>0</v>
      </c>
      <c r="K23" s="46">
        <v>0</v>
      </c>
      <c r="L23" s="46">
        <v>60</v>
      </c>
      <c r="M23" s="46">
        <v>45</v>
      </c>
      <c r="N23" s="46">
        <v>60</v>
      </c>
      <c r="O23" s="46">
        <v>34</v>
      </c>
      <c r="P23" s="46">
        <v>28</v>
      </c>
      <c r="Q23" s="46">
        <v>34</v>
      </c>
      <c r="R23" s="46">
        <f>'[1]МРОТ с мая '!C47+'[1]МРОТ с мая '!J47</f>
        <v>35</v>
      </c>
      <c r="S23" s="46">
        <v>30</v>
      </c>
      <c r="T23" s="46">
        <f t="shared" si="0"/>
        <v>35</v>
      </c>
      <c r="U23" s="47">
        <f>[1]расходы!C24</f>
        <v>27317.794299999998</v>
      </c>
      <c r="V23" s="47">
        <v>1179</v>
      </c>
      <c r="W23" s="47">
        <f>[1]расходы!D24</f>
        <v>36592.13656649999</v>
      </c>
      <c r="X23" s="68">
        <f>[1]расходы!E24</f>
        <v>20148.12</v>
      </c>
      <c r="Y23" s="68">
        <f t="shared" si="3"/>
        <v>145</v>
      </c>
      <c r="Z23" s="47">
        <f>[1]расходы!F24</f>
        <v>20376.486353302607</v>
      </c>
      <c r="AA23" s="47">
        <v>2195</v>
      </c>
      <c r="AB23" s="47">
        <v>0</v>
      </c>
      <c r="AC23" s="47">
        <v>2195</v>
      </c>
      <c r="AD23" s="47">
        <v>0</v>
      </c>
      <c r="AE23" s="47">
        <v>0</v>
      </c>
      <c r="AF23" s="47">
        <v>0</v>
      </c>
      <c r="AG23" s="47">
        <v>13623.1</v>
      </c>
      <c r="AH23" s="47">
        <v>145</v>
      </c>
      <c r="AI23" s="47">
        <v>13627</v>
      </c>
      <c r="AJ23" s="47">
        <v>4330</v>
      </c>
      <c r="AK23" s="47">
        <v>0</v>
      </c>
      <c r="AL23" s="47">
        <v>4554.5</v>
      </c>
      <c r="AM23" s="49">
        <f>'[1]МРОТ с мая '!U47</f>
        <v>4460.0978822324632</v>
      </c>
      <c r="AN23" s="50">
        <v>0</v>
      </c>
      <c r="AO23" s="47">
        <f>'[1]МРОТ с мая '!V47</f>
        <v>4688.46</v>
      </c>
      <c r="AP23" s="68">
        <v>7657.8</v>
      </c>
      <c r="AQ23" s="68">
        <v>3675.3</v>
      </c>
      <c r="AR23" s="69">
        <v>5</v>
      </c>
      <c r="AS23" s="68">
        <v>2789.1</v>
      </c>
      <c r="AT23" s="68">
        <v>2789.1</v>
      </c>
      <c r="AU23" s="68">
        <v>5195.1000000000004</v>
      </c>
      <c r="AV23" s="70" t="s">
        <v>159</v>
      </c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2"/>
      <c r="CF23" s="40"/>
      <c r="CG23" s="40"/>
      <c r="CH23" s="40"/>
      <c r="CI23" s="40"/>
      <c r="CJ23" s="40"/>
      <c r="CK23" s="43"/>
    </row>
    <row r="24" spans="1:89" s="35" customFormat="1" ht="33" customHeight="1">
      <c r="A24" s="44">
        <v>6</v>
      </c>
      <c r="B24" s="67" t="s">
        <v>70</v>
      </c>
      <c r="C24" s="46">
        <v>105</v>
      </c>
      <c r="D24" s="46">
        <v>86</v>
      </c>
      <c r="E24" s="46">
        <v>105</v>
      </c>
      <c r="F24" s="46">
        <v>3</v>
      </c>
      <c r="G24" s="46">
        <v>3</v>
      </c>
      <c r="H24" s="46">
        <v>3</v>
      </c>
      <c r="I24" s="46">
        <v>0</v>
      </c>
      <c r="J24" s="46">
        <v>0</v>
      </c>
      <c r="K24" s="46">
        <v>0</v>
      </c>
      <c r="L24" s="46">
        <v>82</v>
      </c>
      <c r="M24" s="46">
        <v>70</v>
      </c>
      <c r="N24" s="46">
        <v>82</v>
      </c>
      <c r="O24" s="46">
        <v>20</v>
      </c>
      <c r="P24" s="46">
        <v>13</v>
      </c>
      <c r="Q24" s="46">
        <v>20</v>
      </c>
      <c r="R24" s="46">
        <f>'[1]МРОТ с мая '!C48+'[1]МРОТ с мая '!J48</f>
        <v>43</v>
      </c>
      <c r="S24" s="46">
        <v>25</v>
      </c>
      <c r="T24" s="46">
        <f t="shared" si="0"/>
        <v>43</v>
      </c>
      <c r="U24" s="47">
        <f>[1]расходы!C25</f>
        <v>27212.209999999995</v>
      </c>
      <c r="V24" s="47">
        <v>1900</v>
      </c>
      <c r="W24" s="47">
        <f>[1]расходы!D25</f>
        <v>34013.853974000005</v>
      </c>
      <c r="X24" s="68">
        <f>[1]расходы!E25</f>
        <v>20319.71</v>
      </c>
      <c r="Y24" s="68">
        <f t="shared" si="3"/>
        <v>200</v>
      </c>
      <c r="Z24" s="47">
        <f>[1]расходы!F25</f>
        <v>20599.010168970814</v>
      </c>
      <c r="AA24" s="47">
        <v>1549</v>
      </c>
      <c r="AB24" s="47">
        <v>0</v>
      </c>
      <c r="AC24" s="47">
        <v>1549</v>
      </c>
      <c r="AD24" s="47">
        <v>0</v>
      </c>
      <c r="AE24" s="47">
        <v>0</v>
      </c>
      <c r="AF24" s="47">
        <v>0</v>
      </c>
      <c r="AG24" s="47">
        <v>16220.7</v>
      </c>
      <c r="AH24" s="47">
        <v>200</v>
      </c>
      <c r="AI24" s="47">
        <v>16370.8</v>
      </c>
      <c r="AJ24" s="47">
        <v>2550</v>
      </c>
      <c r="AK24" s="47">
        <v>0</v>
      </c>
      <c r="AL24" s="47">
        <v>2679.2</v>
      </c>
      <c r="AM24" s="49">
        <f>'[1]МРОТ с мая '!U48</f>
        <v>5480.8046103430624</v>
      </c>
      <c r="AN24" s="50">
        <v>0</v>
      </c>
      <c r="AO24" s="47">
        <f>'[1]МРОТ с мая '!V48</f>
        <v>5760.1080000000002</v>
      </c>
      <c r="AP24" s="68">
        <v>8909.7000000000007</v>
      </c>
      <c r="AQ24" s="68">
        <v>1426.8</v>
      </c>
      <c r="AR24" s="69">
        <v>5</v>
      </c>
      <c r="AS24" s="56"/>
      <c r="AT24" s="56"/>
      <c r="AU24" s="56"/>
      <c r="AV24" s="70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2"/>
      <c r="CF24" s="40"/>
      <c r="CG24" s="40"/>
      <c r="CH24" s="40"/>
      <c r="CI24" s="40"/>
      <c r="CJ24" s="40"/>
      <c r="CK24" s="43"/>
    </row>
    <row r="25" spans="1:89" s="35" customFormat="1" ht="30">
      <c r="A25" s="44">
        <v>7</v>
      </c>
      <c r="B25" s="72" t="s">
        <v>73</v>
      </c>
      <c r="C25" s="46">
        <v>119</v>
      </c>
      <c r="D25" s="46">
        <v>82</v>
      </c>
      <c r="E25" s="46">
        <v>119</v>
      </c>
      <c r="F25" s="46">
        <v>4</v>
      </c>
      <c r="G25" s="46">
        <v>4</v>
      </c>
      <c r="H25" s="46">
        <v>4</v>
      </c>
      <c r="I25" s="46">
        <v>0</v>
      </c>
      <c r="J25" s="46">
        <v>0</v>
      </c>
      <c r="K25" s="46">
        <v>0</v>
      </c>
      <c r="L25" s="46">
        <v>65</v>
      </c>
      <c r="M25" s="46">
        <v>45</v>
      </c>
      <c r="N25" s="46">
        <v>65</v>
      </c>
      <c r="O25" s="46">
        <v>50</v>
      </c>
      <c r="P25" s="46">
        <v>33</v>
      </c>
      <c r="Q25" s="46">
        <v>50</v>
      </c>
      <c r="R25" s="46">
        <f>'[1]МРОТ с мая '!C49+'[1]МРОТ с мая '!J49</f>
        <v>56</v>
      </c>
      <c r="S25" s="46">
        <v>32</v>
      </c>
      <c r="T25" s="46">
        <f t="shared" si="0"/>
        <v>56</v>
      </c>
      <c r="U25" s="47">
        <f>[1]расходы!C26</f>
        <v>30536.687000000005</v>
      </c>
      <c r="V25" s="47">
        <v>6330</v>
      </c>
      <c r="W25" s="47">
        <f>[1]расходы!D26</f>
        <v>46350.474108800001</v>
      </c>
      <c r="X25" s="68">
        <f>[1]расходы!E26</f>
        <v>20339.21</v>
      </c>
      <c r="Y25" s="68">
        <f t="shared" si="3"/>
        <v>1100</v>
      </c>
      <c r="Z25" s="47">
        <f>[1]расходы!F26</f>
        <v>22142.608549923196</v>
      </c>
      <c r="AA25" s="47">
        <v>1803</v>
      </c>
      <c r="AB25" s="47">
        <v>0</v>
      </c>
      <c r="AC25" s="47">
        <v>1803</v>
      </c>
      <c r="AD25" s="47">
        <v>0</v>
      </c>
      <c r="AE25" s="47">
        <v>0</v>
      </c>
      <c r="AF25" s="47">
        <v>0</v>
      </c>
      <c r="AG25" s="47">
        <v>12116.2</v>
      </c>
      <c r="AH25" s="47">
        <v>1100</v>
      </c>
      <c r="AI25" s="47">
        <v>13641.8</v>
      </c>
      <c r="AJ25" s="47">
        <v>6420</v>
      </c>
      <c r="AK25" s="47">
        <v>0</v>
      </c>
      <c r="AL25" s="47">
        <v>6697.8</v>
      </c>
      <c r="AM25" s="49">
        <f>'[1]МРОТ с мая '!U49</f>
        <v>7142.7969667178704</v>
      </c>
      <c r="AN25" s="50">
        <v>0</v>
      </c>
      <c r="AO25" s="47">
        <f>'[1]МРОТ с мая '!V49</f>
        <v>7501.5360000000001</v>
      </c>
      <c r="AP25" s="68">
        <v>72181.8</v>
      </c>
      <c r="AQ25" s="68">
        <v>41517.599999999999</v>
      </c>
      <c r="AR25" s="69">
        <v>5</v>
      </c>
      <c r="AS25" s="68">
        <v>1804.8</v>
      </c>
      <c r="AT25" s="68">
        <v>1804.8</v>
      </c>
      <c r="AU25" s="68">
        <v>4387</v>
      </c>
      <c r="AV25" s="70" t="s">
        <v>159</v>
      </c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2"/>
      <c r="CF25" s="40"/>
      <c r="CG25" s="40"/>
      <c r="CH25" s="40"/>
      <c r="CI25" s="40"/>
      <c r="CJ25" s="40"/>
      <c r="CK25" s="43"/>
    </row>
    <row r="26" spans="1:89" s="35" customFormat="1" ht="30">
      <c r="A26" s="44">
        <v>8</v>
      </c>
      <c r="B26" s="67" t="s">
        <v>76</v>
      </c>
      <c r="C26" s="46">
        <v>340</v>
      </c>
      <c r="D26" s="46">
        <v>285</v>
      </c>
      <c r="E26" s="46">
        <v>340</v>
      </c>
      <c r="F26" s="46">
        <v>7</v>
      </c>
      <c r="G26" s="46">
        <v>7</v>
      </c>
      <c r="H26" s="46">
        <v>7</v>
      </c>
      <c r="I26" s="46">
        <v>0</v>
      </c>
      <c r="J26" s="46">
        <v>0</v>
      </c>
      <c r="K26" s="46">
        <v>0</v>
      </c>
      <c r="L26" s="46">
        <v>289</v>
      </c>
      <c r="M26" s="46">
        <v>248</v>
      </c>
      <c r="N26" s="46">
        <v>289</v>
      </c>
      <c r="O26" s="46">
        <v>44</v>
      </c>
      <c r="P26" s="46">
        <v>30</v>
      </c>
      <c r="Q26" s="46">
        <v>44</v>
      </c>
      <c r="R26" s="46">
        <f>'[1]МРОТ с мая '!C50+'[1]МРОТ с мая '!J50</f>
        <v>67</v>
      </c>
      <c r="S26" s="46">
        <v>45</v>
      </c>
      <c r="T26" s="46">
        <f t="shared" si="0"/>
        <v>67</v>
      </c>
      <c r="U26" s="47">
        <f>[1]расходы!C27</f>
        <v>92798.209999999977</v>
      </c>
      <c r="V26" s="47">
        <v>2240</v>
      </c>
      <c r="W26" s="47">
        <f>[1]расходы!D27</f>
        <v>101767.369183</v>
      </c>
      <c r="X26" s="68">
        <f>[1]расходы!E27</f>
        <v>68667.179999999993</v>
      </c>
      <c r="Y26" s="68">
        <f t="shared" si="3"/>
        <v>448</v>
      </c>
      <c r="Z26" s="47">
        <f>[1]расходы!F27</f>
        <v>68881.87</v>
      </c>
      <c r="AA26" s="47">
        <v>3651</v>
      </c>
      <c r="AB26" s="47">
        <v>0</v>
      </c>
      <c r="AC26" s="47">
        <v>3651</v>
      </c>
      <c r="AD26" s="47">
        <v>0</v>
      </c>
      <c r="AE26" s="47">
        <v>0</v>
      </c>
      <c r="AF26" s="47">
        <v>0</v>
      </c>
      <c r="AG26" s="47">
        <v>59406.2</v>
      </c>
      <c r="AH26" s="47">
        <v>448</v>
      </c>
      <c r="AI26" s="47">
        <v>59336.9</v>
      </c>
      <c r="AJ26" s="47">
        <v>5610</v>
      </c>
      <c r="AK26" s="47">
        <v>0</v>
      </c>
      <c r="AL26" s="47">
        <v>5894</v>
      </c>
      <c r="AM26" s="49">
        <f>'[1]МРОТ с мая '!U50</f>
        <v>8545.6719999999987</v>
      </c>
      <c r="AN26" s="50">
        <v>0</v>
      </c>
      <c r="AO26" s="47">
        <f>'[1]МРОТ с мая '!V50</f>
        <v>8975.0519999999997</v>
      </c>
      <c r="AP26" s="68">
        <v>17181.599999999999</v>
      </c>
      <c r="AQ26" s="68">
        <v>4491.3</v>
      </c>
      <c r="AR26" s="69">
        <v>2</v>
      </c>
      <c r="AS26" s="56"/>
      <c r="AT26" s="56"/>
      <c r="AU26" s="56"/>
      <c r="AV26" s="73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2"/>
      <c r="CF26" s="40"/>
      <c r="CG26" s="40"/>
      <c r="CH26" s="40"/>
      <c r="CI26" s="40"/>
      <c r="CJ26" s="40"/>
      <c r="CK26" s="43"/>
    </row>
    <row r="27" spans="1:89" s="35" customFormat="1" ht="31.5" customHeight="1">
      <c r="A27" s="44">
        <v>9</v>
      </c>
      <c r="B27" s="72" t="s">
        <v>79</v>
      </c>
      <c r="C27" s="46">
        <v>75</v>
      </c>
      <c r="D27" s="46">
        <v>56</v>
      </c>
      <c r="E27" s="46">
        <v>75</v>
      </c>
      <c r="F27" s="46">
        <v>4</v>
      </c>
      <c r="G27" s="46">
        <v>4</v>
      </c>
      <c r="H27" s="46">
        <v>4</v>
      </c>
      <c r="I27" s="46">
        <v>0</v>
      </c>
      <c r="J27" s="46">
        <v>0</v>
      </c>
      <c r="K27" s="46">
        <v>0</v>
      </c>
      <c r="L27" s="46">
        <v>60</v>
      </c>
      <c r="M27" s="46">
        <v>47</v>
      </c>
      <c r="N27" s="46">
        <v>60</v>
      </c>
      <c r="O27" s="46">
        <v>11</v>
      </c>
      <c r="P27" s="46">
        <v>5</v>
      </c>
      <c r="Q27" s="46">
        <v>11</v>
      </c>
      <c r="R27" s="46">
        <f>'[1]МРОТ с мая '!C51+'[1]МРОТ с мая '!J51</f>
        <v>29</v>
      </c>
      <c r="S27" s="46">
        <v>27</v>
      </c>
      <c r="T27" s="46">
        <f t="shared" si="0"/>
        <v>29</v>
      </c>
      <c r="U27" s="47">
        <f>[1]расходы!C28</f>
        <v>20010.090000000004</v>
      </c>
      <c r="V27" s="47">
        <v>660</v>
      </c>
      <c r="W27" s="47">
        <f>[1]расходы!D28</f>
        <v>26127.524802999997</v>
      </c>
      <c r="X27" s="68">
        <f>[1]расходы!E28</f>
        <v>14997.470000000001</v>
      </c>
      <c r="Y27" s="68">
        <f t="shared" si="3"/>
        <v>66</v>
      </c>
      <c r="Z27" s="47">
        <f>[1]расходы!F28</f>
        <v>15191.652</v>
      </c>
      <c r="AA27" s="47">
        <v>1600</v>
      </c>
      <c r="AB27" s="47">
        <v>0</v>
      </c>
      <c r="AC27" s="47">
        <v>1600</v>
      </c>
      <c r="AD27" s="47">
        <v>0</v>
      </c>
      <c r="AE27" s="47">
        <v>0</v>
      </c>
      <c r="AF27" s="47">
        <v>0</v>
      </c>
      <c r="AG27" s="47">
        <v>11997.5</v>
      </c>
      <c r="AH27" s="47">
        <v>66</v>
      </c>
      <c r="AI27" s="47">
        <v>12118.2</v>
      </c>
      <c r="AJ27" s="47">
        <v>1400</v>
      </c>
      <c r="AK27" s="47">
        <v>0</v>
      </c>
      <c r="AL27" s="47">
        <v>1473.5</v>
      </c>
      <c r="AM27" s="49">
        <f>'[1]МРОТ с мая '!U51</f>
        <v>3690.54</v>
      </c>
      <c r="AN27" s="50">
        <v>0</v>
      </c>
      <c r="AO27" s="47">
        <f>'[1]МРОТ с мая '!V51</f>
        <v>3884.7240000000002</v>
      </c>
      <c r="AP27" s="68">
        <v>4663.8999999999996</v>
      </c>
      <c r="AQ27" s="68">
        <v>1769.6</v>
      </c>
      <c r="AR27" s="69">
        <v>4</v>
      </c>
      <c r="AS27" s="56"/>
      <c r="AT27" s="56"/>
      <c r="AU27" s="56"/>
      <c r="AV27" s="71" t="s">
        <v>158</v>
      </c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2"/>
      <c r="CF27" s="40"/>
      <c r="CG27" s="40"/>
      <c r="CH27" s="40"/>
      <c r="CI27" s="40"/>
      <c r="CJ27" s="40"/>
      <c r="CK27" s="43"/>
    </row>
    <row r="28" spans="1:89" s="35" customFormat="1" ht="30">
      <c r="A28" s="44">
        <v>10</v>
      </c>
      <c r="B28" s="67" t="s">
        <v>82</v>
      </c>
      <c r="C28" s="46">
        <v>48</v>
      </c>
      <c r="D28" s="46">
        <v>46.8</v>
      </c>
      <c r="E28" s="46">
        <v>48</v>
      </c>
      <c r="F28" s="46">
        <v>3</v>
      </c>
      <c r="G28" s="46">
        <v>3</v>
      </c>
      <c r="H28" s="46">
        <v>3</v>
      </c>
      <c r="I28" s="46">
        <v>0</v>
      </c>
      <c r="J28" s="46">
        <v>0</v>
      </c>
      <c r="K28" s="46">
        <v>0</v>
      </c>
      <c r="L28" s="46">
        <v>28</v>
      </c>
      <c r="M28" s="46">
        <v>28</v>
      </c>
      <c r="N28" s="46">
        <v>28</v>
      </c>
      <c r="O28" s="46">
        <v>17</v>
      </c>
      <c r="P28" s="46">
        <v>15.8</v>
      </c>
      <c r="Q28" s="46">
        <v>17</v>
      </c>
      <c r="R28" s="46">
        <f>'[1]МРОТ с мая '!C52+'[1]МРОТ с мая '!J52</f>
        <v>20</v>
      </c>
      <c r="S28" s="46">
        <v>13</v>
      </c>
      <c r="T28" s="46">
        <f t="shared" si="0"/>
        <v>20</v>
      </c>
      <c r="U28" s="47">
        <f>[1]расходы!C29</f>
        <v>14456.419999999998</v>
      </c>
      <c r="V28" s="47">
        <v>1030</v>
      </c>
      <c r="W28" s="47">
        <f>[1]расходы!D29</f>
        <v>18439.682839599998</v>
      </c>
      <c r="X28" s="68">
        <f>[1]расходы!E29</f>
        <v>10819.72</v>
      </c>
      <c r="Y28" s="68">
        <f t="shared" si="3"/>
        <v>103</v>
      </c>
      <c r="Z28" s="47">
        <f>[1]расходы!F29</f>
        <v>11087.434799999999</v>
      </c>
      <c r="AA28" s="47">
        <v>1319</v>
      </c>
      <c r="AB28" s="47">
        <v>0</v>
      </c>
      <c r="AC28" s="47">
        <v>1319</v>
      </c>
      <c r="AD28" s="47">
        <v>0</v>
      </c>
      <c r="AE28" s="47">
        <v>0</v>
      </c>
      <c r="AF28" s="47">
        <v>0</v>
      </c>
      <c r="AG28" s="47">
        <v>7330.7</v>
      </c>
      <c r="AH28" s="47">
        <v>103</v>
      </c>
      <c r="AI28" s="47">
        <v>7491.1</v>
      </c>
      <c r="AJ28" s="47">
        <v>2170</v>
      </c>
      <c r="AK28" s="47">
        <v>0</v>
      </c>
      <c r="AL28" s="47">
        <v>2277.3000000000002</v>
      </c>
      <c r="AM28" s="49">
        <f>'[1]МРОТ с мая '!U52</f>
        <v>2741.1000000000004</v>
      </c>
      <c r="AN28" s="50">
        <v>0</v>
      </c>
      <c r="AO28" s="47">
        <f>'[1]МРОТ с мая '!V52</f>
        <v>2947.0320000000002</v>
      </c>
      <c r="AP28" s="68">
        <v>3965.1</v>
      </c>
      <c r="AQ28" s="68">
        <v>339.4</v>
      </c>
      <c r="AR28" s="69">
        <v>5</v>
      </c>
      <c r="AS28" s="56"/>
      <c r="AT28" s="56"/>
      <c r="AU28" s="56"/>
      <c r="AV28" s="73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2"/>
      <c r="CF28" s="40"/>
      <c r="CG28" s="40"/>
      <c r="CH28" s="40"/>
      <c r="CI28" s="40"/>
      <c r="CJ28" s="40"/>
      <c r="CK28" s="43"/>
    </row>
    <row r="29" spans="1:89" s="35" customFormat="1" ht="30">
      <c r="A29" s="44">
        <v>11</v>
      </c>
      <c r="B29" s="67" t="s">
        <v>85</v>
      </c>
      <c r="C29" s="46">
        <v>56</v>
      </c>
      <c r="D29" s="46">
        <v>46.4</v>
      </c>
      <c r="E29" s="46">
        <v>56</v>
      </c>
      <c r="F29" s="46">
        <v>3</v>
      </c>
      <c r="G29" s="46">
        <v>3</v>
      </c>
      <c r="H29" s="46">
        <v>3</v>
      </c>
      <c r="I29" s="46">
        <v>0</v>
      </c>
      <c r="J29" s="46">
        <v>0</v>
      </c>
      <c r="K29" s="46">
        <v>0</v>
      </c>
      <c r="L29" s="46">
        <v>34</v>
      </c>
      <c r="M29" s="46">
        <v>28</v>
      </c>
      <c r="N29" s="46">
        <v>34</v>
      </c>
      <c r="O29" s="46">
        <v>19</v>
      </c>
      <c r="P29" s="46">
        <v>15.4</v>
      </c>
      <c r="Q29" s="46">
        <v>19</v>
      </c>
      <c r="R29" s="46">
        <f>'[1]МРОТ с мая '!C53+'[1]МРОТ с мая '!J53</f>
        <v>24</v>
      </c>
      <c r="S29" s="46">
        <v>23</v>
      </c>
      <c r="T29" s="46">
        <f t="shared" si="0"/>
        <v>24</v>
      </c>
      <c r="U29" s="47">
        <f>[1]расходы!C30</f>
        <v>14924.305000000002</v>
      </c>
      <c r="V29" s="47">
        <v>640</v>
      </c>
      <c r="W29" s="47">
        <f>[1]расходы!D30</f>
        <v>20261.536548749998</v>
      </c>
      <c r="X29" s="68">
        <f>[1]расходы!E30</f>
        <v>10861.84</v>
      </c>
      <c r="Y29" s="68">
        <f t="shared" si="3"/>
        <v>80</v>
      </c>
      <c r="Z29" s="47">
        <f>[1]расходы!F30</f>
        <v>11062.714055299539</v>
      </c>
      <c r="AA29" s="47">
        <v>1315</v>
      </c>
      <c r="AB29" s="47">
        <v>0</v>
      </c>
      <c r="AC29" s="47">
        <v>1315</v>
      </c>
      <c r="AD29" s="47">
        <v>0</v>
      </c>
      <c r="AE29" s="47">
        <v>0</v>
      </c>
      <c r="AF29" s="47">
        <v>0</v>
      </c>
      <c r="AG29" s="47">
        <v>7126.8</v>
      </c>
      <c r="AH29" s="47">
        <v>80</v>
      </c>
      <c r="AI29" s="47">
        <v>7202.5</v>
      </c>
      <c r="AJ29" s="47">
        <v>2420</v>
      </c>
      <c r="AK29" s="47">
        <v>0</v>
      </c>
      <c r="AL29" s="47">
        <v>2545.1999999999998</v>
      </c>
      <c r="AM29" s="49">
        <f>'[1]МРОТ с мая '!U53</f>
        <v>3057.444</v>
      </c>
      <c r="AN29" s="50">
        <v>0</v>
      </c>
      <c r="AO29" s="47">
        <f>'[1]МРОТ с мая '!V53</f>
        <v>3214.9440000000004</v>
      </c>
      <c r="AP29" s="68">
        <v>6897.8</v>
      </c>
      <c r="AQ29" s="68">
        <v>805.9</v>
      </c>
      <c r="AR29" s="69">
        <v>4</v>
      </c>
      <c r="AS29" s="68">
        <v>1147.7</v>
      </c>
      <c r="AT29" s="68">
        <v>1147.7</v>
      </c>
      <c r="AU29" s="68">
        <v>387.3</v>
      </c>
      <c r="AV29" s="71" t="s">
        <v>158</v>
      </c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2"/>
      <c r="CF29" s="40"/>
      <c r="CG29" s="40"/>
      <c r="CH29" s="40"/>
      <c r="CI29" s="40"/>
      <c r="CJ29" s="40"/>
      <c r="CK29" s="43"/>
    </row>
    <row r="30" spans="1:89" s="35" customFormat="1" ht="14.25" customHeight="1">
      <c r="A30" s="44">
        <v>12</v>
      </c>
      <c r="B30" s="67" t="s">
        <v>88</v>
      </c>
      <c r="C30" s="46">
        <v>23</v>
      </c>
      <c r="D30" s="46">
        <v>21</v>
      </c>
      <c r="E30" s="46">
        <v>23</v>
      </c>
      <c r="F30" s="46">
        <v>4</v>
      </c>
      <c r="G30" s="46">
        <v>4</v>
      </c>
      <c r="H30" s="46">
        <v>4</v>
      </c>
      <c r="I30" s="46">
        <v>0</v>
      </c>
      <c r="J30" s="46">
        <v>0</v>
      </c>
      <c r="K30" s="46">
        <v>0</v>
      </c>
      <c r="L30" s="46">
        <v>12</v>
      </c>
      <c r="M30" s="46">
        <v>10</v>
      </c>
      <c r="N30" s="46">
        <v>12</v>
      </c>
      <c r="O30" s="46">
        <v>7</v>
      </c>
      <c r="P30" s="46">
        <v>7</v>
      </c>
      <c r="Q30" s="46">
        <v>7</v>
      </c>
      <c r="R30" s="46">
        <f>'[1]МРОТ с мая '!C54+'[1]МРОТ с мая '!J54</f>
        <v>7</v>
      </c>
      <c r="S30" s="46">
        <v>7</v>
      </c>
      <c r="T30" s="46">
        <f t="shared" si="0"/>
        <v>7</v>
      </c>
      <c r="U30" s="47">
        <f>[1]расходы!C31</f>
        <v>18101.132000000001</v>
      </c>
      <c r="V30" s="47">
        <v>180</v>
      </c>
      <c r="W30" s="47">
        <f>[1]расходы!D31</f>
        <v>16924.206529759998</v>
      </c>
      <c r="X30" s="68">
        <f>[1]расходы!E31</f>
        <v>5724.04</v>
      </c>
      <c r="Y30" s="68">
        <f t="shared" si="3"/>
        <v>20</v>
      </c>
      <c r="Z30" s="47">
        <f>[1]расходы!F31</f>
        <v>5770.9160000000002</v>
      </c>
      <c r="AA30" s="47">
        <v>1736</v>
      </c>
      <c r="AB30" s="47">
        <v>0</v>
      </c>
      <c r="AC30" s="47">
        <v>1736</v>
      </c>
      <c r="AD30" s="47">
        <v>0</v>
      </c>
      <c r="AE30" s="47">
        <v>0</v>
      </c>
      <c r="AF30" s="47">
        <v>0</v>
      </c>
      <c r="AG30" s="47">
        <v>3093</v>
      </c>
      <c r="AH30" s="47">
        <v>20</v>
      </c>
      <c r="AI30" s="47">
        <v>3097.2</v>
      </c>
      <c r="AJ30" s="47">
        <v>895</v>
      </c>
      <c r="AK30" s="47">
        <v>0</v>
      </c>
      <c r="AL30" s="47">
        <v>937.7</v>
      </c>
      <c r="AM30" s="49">
        <f>'[1]МРОТ с мая '!U54</f>
        <v>890.82000000000016</v>
      </c>
      <c r="AN30" s="50">
        <v>0</v>
      </c>
      <c r="AO30" s="47">
        <f>'[1]МРОТ с мая '!V54</f>
        <v>937.69200000000001</v>
      </c>
      <c r="AP30" s="68">
        <v>15992.9</v>
      </c>
      <c r="AQ30" s="68">
        <v>4692.3999999999996</v>
      </c>
      <c r="AR30" s="69">
        <v>0</v>
      </c>
      <c r="AS30" s="68" t="s">
        <v>163</v>
      </c>
      <c r="AT30" s="68" t="s">
        <v>163</v>
      </c>
      <c r="AU30" s="68" t="s">
        <v>164</v>
      </c>
      <c r="AV30" s="71" t="s">
        <v>158</v>
      </c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2"/>
      <c r="CF30" s="40"/>
      <c r="CG30" s="40"/>
      <c r="CH30" s="40"/>
      <c r="CI30" s="40"/>
      <c r="CJ30" s="40"/>
      <c r="CK30" s="43"/>
    </row>
    <row r="31" spans="1:89" s="35" customFormat="1" ht="31.5" customHeight="1">
      <c r="A31" s="44">
        <v>13</v>
      </c>
      <c r="B31" s="72" t="s">
        <v>91</v>
      </c>
      <c r="C31" s="46">
        <f>F31+I31+L31+O31</f>
        <v>194</v>
      </c>
      <c r="D31" s="46">
        <f>G31+J31+M31+P31</f>
        <v>190</v>
      </c>
      <c r="E31" s="46">
        <f>H31+K31+N31+Q31</f>
        <v>194</v>
      </c>
      <c r="F31" s="51">
        <v>7</v>
      </c>
      <c r="G31" s="51">
        <v>7</v>
      </c>
      <c r="H31" s="51">
        <v>7</v>
      </c>
      <c r="I31" s="46">
        <v>0</v>
      </c>
      <c r="J31" s="46">
        <v>0</v>
      </c>
      <c r="K31" s="46">
        <v>0</v>
      </c>
      <c r="L31" s="51">
        <v>157</v>
      </c>
      <c r="M31" s="51">
        <v>154</v>
      </c>
      <c r="N31" s="51">
        <v>157</v>
      </c>
      <c r="O31" s="51">
        <v>30</v>
      </c>
      <c r="P31" s="51">
        <v>29</v>
      </c>
      <c r="Q31" s="51">
        <v>30</v>
      </c>
      <c r="R31" s="46">
        <f>'[1]МРОТ с мая '!C55+'[1]МРОТ с мая '!J55</f>
        <v>40</v>
      </c>
      <c r="S31" s="51">
        <v>40</v>
      </c>
      <c r="T31" s="46">
        <f t="shared" si="0"/>
        <v>40</v>
      </c>
      <c r="U31" s="47">
        <f>[1]расходы!C32</f>
        <v>55017.98</v>
      </c>
      <c r="V31" s="50">
        <v>3000</v>
      </c>
      <c r="W31" s="47">
        <f>[1]расходы!D32</f>
        <v>65100.5124736</v>
      </c>
      <c r="X31" s="68">
        <f>[1]расходы!E32</f>
        <v>37307.49</v>
      </c>
      <c r="Y31" s="74">
        <v>350</v>
      </c>
      <c r="Z31" s="47">
        <f>[1]расходы!F32</f>
        <v>37567.15907219662</v>
      </c>
      <c r="AA31" s="50">
        <v>2400.42</v>
      </c>
      <c r="AB31" s="50">
        <v>45</v>
      </c>
      <c r="AC31" s="50">
        <v>2400.42</v>
      </c>
      <c r="AD31" s="47">
        <v>0</v>
      </c>
      <c r="AE31" s="47">
        <v>0</v>
      </c>
      <c r="AF31" s="47">
        <v>0</v>
      </c>
      <c r="AG31" s="50">
        <v>30956</v>
      </c>
      <c r="AH31" s="50">
        <v>230</v>
      </c>
      <c r="AI31" s="50">
        <v>30956</v>
      </c>
      <c r="AJ31" s="50">
        <v>3950.9</v>
      </c>
      <c r="AK31" s="50">
        <v>75</v>
      </c>
      <c r="AL31" s="50">
        <v>4210.8</v>
      </c>
      <c r="AM31" s="49">
        <f>'[1]МРОТ с мая '!U55</f>
        <v>5098.486975934461</v>
      </c>
      <c r="AN31" s="50">
        <v>0</v>
      </c>
      <c r="AO31" s="47">
        <f>'[1]МРОТ с мая '!V55</f>
        <v>5358.24</v>
      </c>
      <c r="AP31" s="50">
        <v>65977.2</v>
      </c>
      <c r="AQ31" s="50">
        <v>38156.101999999999</v>
      </c>
      <c r="AR31" s="51">
        <v>6</v>
      </c>
      <c r="AS31" s="50">
        <f>1641.3+576.3</f>
        <v>2217.6</v>
      </c>
      <c r="AT31" s="50">
        <v>1641.3</v>
      </c>
      <c r="AU31" s="50"/>
      <c r="AV31" s="71" t="s">
        <v>158</v>
      </c>
      <c r="AW31" s="75"/>
      <c r="AX31" s="75"/>
      <c r="AY31" s="75"/>
      <c r="AZ31" s="75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76"/>
      <c r="CF31" s="43"/>
      <c r="CG31" s="43"/>
      <c r="CH31" s="43"/>
      <c r="CI31" s="43"/>
      <c r="CJ31" s="43"/>
      <c r="CK31" s="43"/>
    </row>
    <row r="32" spans="1:89" s="35" customFormat="1" ht="31.5" customHeight="1">
      <c r="A32" s="44">
        <v>14</v>
      </c>
      <c r="B32" s="72" t="s">
        <v>94</v>
      </c>
      <c r="C32" s="46">
        <f t="shared" ref="C32:E41" si="4">F32+I32+L32+O32</f>
        <v>142</v>
      </c>
      <c r="D32" s="46">
        <f t="shared" si="4"/>
        <v>96</v>
      </c>
      <c r="E32" s="46">
        <f t="shared" si="4"/>
        <v>142</v>
      </c>
      <c r="F32" s="77">
        <v>5</v>
      </c>
      <c r="G32" s="77">
        <v>5</v>
      </c>
      <c r="H32" s="77">
        <v>5</v>
      </c>
      <c r="I32" s="46">
        <v>0</v>
      </c>
      <c r="J32" s="46">
        <v>0</v>
      </c>
      <c r="K32" s="46">
        <v>0</v>
      </c>
      <c r="L32" s="77">
        <v>114</v>
      </c>
      <c r="M32" s="77">
        <v>68</v>
      </c>
      <c r="N32" s="77">
        <v>114</v>
      </c>
      <c r="O32" s="77">
        <v>23</v>
      </c>
      <c r="P32" s="77">
        <v>23</v>
      </c>
      <c r="Q32" s="77">
        <v>23</v>
      </c>
      <c r="R32" s="46">
        <f>'[1]МРОТ с мая '!C56+'[1]МРОТ с мая '!J56</f>
        <v>43</v>
      </c>
      <c r="S32" s="77">
        <v>24</v>
      </c>
      <c r="T32" s="46">
        <f t="shared" si="0"/>
        <v>43</v>
      </c>
      <c r="U32" s="47">
        <f>[1]расходы!C33</f>
        <v>36735.58</v>
      </c>
      <c r="V32" s="74">
        <v>1900</v>
      </c>
      <c r="W32" s="47">
        <f>[1]расходы!D33</f>
        <v>42934.533967399992</v>
      </c>
      <c r="X32" s="68">
        <f>[1]расходы!E33</f>
        <v>26524.66</v>
      </c>
      <c r="Y32" s="74">
        <v>145.93</v>
      </c>
      <c r="Z32" s="47">
        <f>[1]расходы!F33</f>
        <v>26606.853199999998</v>
      </c>
      <c r="AA32" s="50">
        <v>2038.9559999999999</v>
      </c>
      <c r="AB32" s="50">
        <v>0</v>
      </c>
      <c r="AC32" s="50">
        <v>2038.9559999999999</v>
      </c>
      <c r="AD32" s="47">
        <v>0</v>
      </c>
      <c r="AE32" s="47">
        <v>0</v>
      </c>
      <c r="AF32" s="47">
        <v>0</v>
      </c>
      <c r="AG32" s="50">
        <v>21404.75</v>
      </c>
      <c r="AH32" s="50">
        <v>145.93</v>
      </c>
      <c r="AI32" s="50">
        <v>21404.7</v>
      </c>
      <c r="AJ32" s="50">
        <v>3081</v>
      </c>
      <c r="AK32" s="50">
        <v>0</v>
      </c>
      <c r="AL32" s="50">
        <v>3163.2</v>
      </c>
      <c r="AM32" s="49">
        <f>'[1]МРОТ с мая '!U56</f>
        <v>5486.16</v>
      </c>
      <c r="AN32" s="50">
        <v>0</v>
      </c>
      <c r="AO32" s="47">
        <f>'[1]МРОТ с мая '!V56</f>
        <v>5760.1080000000002</v>
      </c>
      <c r="AP32" s="50">
        <v>64212.75</v>
      </c>
      <c r="AQ32" s="50">
        <v>37341.599999999999</v>
      </c>
      <c r="AR32" s="46" t="s">
        <v>165</v>
      </c>
      <c r="AS32" s="50">
        <v>3353</v>
      </c>
      <c r="AT32" s="50">
        <v>2099.1999999999998</v>
      </c>
      <c r="AU32" s="50">
        <v>1253.5999999999999</v>
      </c>
      <c r="AV32" s="43" t="s">
        <v>158</v>
      </c>
      <c r="AW32" s="75"/>
      <c r="AX32" s="75"/>
      <c r="AY32" s="75"/>
      <c r="AZ32" s="75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76"/>
      <c r="CF32" s="43"/>
      <c r="CG32" s="43"/>
      <c r="CH32" s="43"/>
      <c r="CI32" s="43"/>
      <c r="CJ32" s="43"/>
      <c r="CK32" s="43"/>
    </row>
    <row r="33" spans="1:89" s="35" customFormat="1" ht="31.5" customHeight="1">
      <c r="A33" s="44">
        <v>15</v>
      </c>
      <c r="B33" s="72" t="s">
        <v>97</v>
      </c>
      <c r="C33" s="46">
        <f t="shared" si="4"/>
        <v>89</v>
      </c>
      <c r="D33" s="46">
        <f t="shared" si="4"/>
        <v>83</v>
      </c>
      <c r="E33" s="46">
        <f t="shared" si="4"/>
        <v>89</v>
      </c>
      <c r="F33" s="46">
        <v>3</v>
      </c>
      <c r="G33" s="46">
        <v>3</v>
      </c>
      <c r="H33" s="46">
        <v>3</v>
      </c>
      <c r="I33" s="46">
        <v>0</v>
      </c>
      <c r="J33" s="46">
        <v>0</v>
      </c>
      <c r="K33" s="46">
        <v>0</v>
      </c>
      <c r="L33" s="51">
        <v>76</v>
      </c>
      <c r="M33" s="51">
        <v>70</v>
      </c>
      <c r="N33" s="51">
        <v>76</v>
      </c>
      <c r="O33" s="51">
        <v>10</v>
      </c>
      <c r="P33" s="51">
        <v>10</v>
      </c>
      <c r="Q33" s="51">
        <v>10</v>
      </c>
      <c r="R33" s="46">
        <f>'[1]МРОТ с мая '!C57+'[1]МРОТ с мая '!J57</f>
        <v>14</v>
      </c>
      <c r="S33" s="51">
        <v>12</v>
      </c>
      <c r="T33" s="46">
        <f t="shared" si="0"/>
        <v>14</v>
      </c>
      <c r="U33" s="47">
        <f>[1]расходы!C34</f>
        <v>27530.06</v>
      </c>
      <c r="V33" s="50">
        <v>1385</v>
      </c>
      <c r="W33" s="47">
        <f>[1]расходы!D34</f>
        <v>29757.822256000003</v>
      </c>
      <c r="X33" s="68">
        <f>[1]расходы!E34</f>
        <v>20523.7</v>
      </c>
      <c r="Y33" s="74">
        <v>138.5</v>
      </c>
      <c r="Z33" s="47">
        <f>[1]расходы!F34</f>
        <v>20568.856</v>
      </c>
      <c r="AA33" s="50">
        <v>1234.356</v>
      </c>
      <c r="AB33" s="50">
        <v>0</v>
      </c>
      <c r="AC33" s="50">
        <v>1234.356</v>
      </c>
      <c r="AD33" s="47">
        <v>0</v>
      </c>
      <c r="AE33" s="47">
        <v>0</v>
      </c>
      <c r="AF33" s="47">
        <v>0</v>
      </c>
      <c r="AG33" s="50">
        <v>17975.7</v>
      </c>
      <c r="AH33" s="50">
        <v>138.5</v>
      </c>
      <c r="AI33" s="50">
        <v>17975.7</v>
      </c>
      <c r="AJ33" s="50">
        <v>1313.6</v>
      </c>
      <c r="AK33" s="50">
        <v>0</v>
      </c>
      <c r="AL33" s="50">
        <v>1358.8</v>
      </c>
      <c r="AM33" s="49">
        <f>'[1]МРОТ с мая '!U57</f>
        <v>1785.0800000000004</v>
      </c>
      <c r="AN33" s="50">
        <v>0</v>
      </c>
      <c r="AO33" s="47">
        <f>'[1]МРОТ с мая '!V57</f>
        <v>1875.384</v>
      </c>
      <c r="AP33" s="50">
        <v>8989.5300000000007</v>
      </c>
      <c r="AQ33" s="50">
        <v>2365.0700000000002</v>
      </c>
      <c r="AR33" s="51">
        <v>6</v>
      </c>
      <c r="AS33" s="50">
        <v>250</v>
      </c>
      <c r="AT33" s="50">
        <v>220</v>
      </c>
      <c r="AU33" s="50">
        <v>0</v>
      </c>
      <c r="AV33" s="43" t="s">
        <v>158</v>
      </c>
      <c r="AW33" s="75"/>
      <c r="AX33" s="75"/>
      <c r="AY33" s="75"/>
      <c r="AZ33" s="75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76"/>
      <c r="CF33" s="43"/>
      <c r="CG33" s="43"/>
      <c r="CH33" s="43"/>
      <c r="CI33" s="43"/>
      <c r="CJ33" s="43"/>
      <c r="CK33" s="43"/>
    </row>
    <row r="34" spans="1:89" s="35" customFormat="1" ht="31.5" customHeight="1">
      <c r="A34" s="44">
        <v>16</v>
      </c>
      <c r="B34" s="72" t="s">
        <v>100</v>
      </c>
      <c r="C34" s="46">
        <f t="shared" si="4"/>
        <v>38</v>
      </c>
      <c r="D34" s="46">
        <f t="shared" si="4"/>
        <v>33</v>
      </c>
      <c r="E34" s="46">
        <f t="shared" si="4"/>
        <v>38</v>
      </c>
      <c r="F34" s="51">
        <v>2</v>
      </c>
      <c r="G34" s="51">
        <v>2</v>
      </c>
      <c r="H34" s="51">
        <v>2</v>
      </c>
      <c r="I34" s="46">
        <v>0</v>
      </c>
      <c r="J34" s="46">
        <v>0</v>
      </c>
      <c r="K34" s="46">
        <v>0</v>
      </c>
      <c r="L34" s="51">
        <v>34</v>
      </c>
      <c r="M34" s="51">
        <v>29</v>
      </c>
      <c r="N34" s="51">
        <v>34</v>
      </c>
      <c r="O34" s="51">
        <v>2</v>
      </c>
      <c r="P34" s="51">
        <v>2</v>
      </c>
      <c r="Q34" s="51">
        <v>2</v>
      </c>
      <c r="R34" s="46">
        <f>'[1]МРОТ с мая '!C58+'[1]МРОТ с мая '!J58</f>
        <v>4</v>
      </c>
      <c r="S34" s="51">
        <v>4</v>
      </c>
      <c r="T34" s="46">
        <f t="shared" si="0"/>
        <v>4</v>
      </c>
      <c r="U34" s="47">
        <f>[1]расходы!C35</f>
        <v>11417.15</v>
      </c>
      <c r="V34" s="50">
        <v>380</v>
      </c>
      <c r="W34" s="47">
        <f>[1]расходы!D35</f>
        <v>13753.993524400001</v>
      </c>
      <c r="X34" s="68">
        <f>[1]расходы!E35</f>
        <v>8277.5300000000007</v>
      </c>
      <c r="Y34" s="74">
        <v>38</v>
      </c>
      <c r="Z34" s="47">
        <f>[1]расходы!F35</f>
        <v>8321.3504000000012</v>
      </c>
      <c r="AA34" s="50">
        <v>882.9</v>
      </c>
      <c r="AB34" s="50">
        <v>0</v>
      </c>
      <c r="AC34" s="50">
        <v>882.9</v>
      </c>
      <c r="AD34" s="47">
        <v>0</v>
      </c>
      <c r="AE34" s="47">
        <v>0</v>
      </c>
      <c r="AF34" s="47">
        <v>0</v>
      </c>
      <c r="AG34" s="50">
        <v>7076.67</v>
      </c>
      <c r="AH34" s="50">
        <v>38</v>
      </c>
      <c r="AI34" s="50">
        <v>7076.7</v>
      </c>
      <c r="AJ34" s="50">
        <v>267.89999999999998</v>
      </c>
      <c r="AK34" s="50">
        <v>0</v>
      </c>
      <c r="AL34" s="50">
        <v>361.8</v>
      </c>
      <c r="AM34" s="49">
        <f>'[1]МРОТ с мая '!U58</f>
        <v>545.58960000000002</v>
      </c>
      <c r="AN34" s="50">
        <v>0</v>
      </c>
      <c r="AO34" s="47">
        <f>'[1]МРОТ с мая '!V58</f>
        <v>589.40640000000008</v>
      </c>
      <c r="AP34" s="50">
        <v>3097.5839999999998</v>
      </c>
      <c r="AQ34" s="50">
        <v>377.5</v>
      </c>
      <c r="AR34" s="51">
        <v>5</v>
      </c>
      <c r="AS34" s="50">
        <v>321</v>
      </c>
      <c r="AT34" s="50">
        <v>321</v>
      </c>
      <c r="AU34" s="50">
        <v>300</v>
      </c>
      <c r="AV34" s="43" t="s">
        <v>158</v>
      </c>
      <c r="AW34" s="75"/>
      <c r="AX34" s="75"/>
      <c r="AY34" s="75"/>
      <c r="AZ34" s="75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76"/>
      <c r="CF34" s="43"/>
      <c r="CG34" s="43"/>
      <c r="CH34" s="43"/>
      <c r="CI34" s="43"/>
      <c r="CJ34" s="43"/>
      <c r="CK34" s="43"/>
    </row>
    <row r="35" spans="1:89" s="35" customFormat="1" ht="31.5" customHeight="1">
      <c r="A35" s="44">
        <v>17</v>
      </c>
      <c r="B35" s="72" t="s">
        <v>103</v>
      </c>
      <c r="C35" s="46">
        <f t="shared" si="4"/>
        <v>35</v>
      </c>
      <c r="D35" s="46">
        <f t="shared" si="4"/>
        <v>30</v>
      </c>
      <c r="E35" s="46">
        <f t="shared" si="4"/>
        <v>35</v>
      </c>
      <c r="F35" s="51">
        <v>2</v>
      </c>
      <c r="G35" s="51">
        <v>2</v>
      </c>
      <c r="H35" s="51">
        <v>2</v>
      </c>
      <c r="I35" s="46">
        <v>0</v>
      </c>
      <c r="J35" s="46">
        <v>0</v>
      </c>
      <c r="K35" s="46">
        <v>0</v>
      </c>
      <c r="L35" s="51">
        <v>31</v>
      </c>
      <c r="M35" s="51">
        <v>26</v>
      </c>
      <c r="N35" s="51">
        <v>31</v>
      </c>
      <c r="O35" s="51">
        <v>2</v>
      </c>
      <c r="P35" s="51">
        <v>2</v>
      </c>
      <c r="Q35" s="51">
        <v>2</v>
      </c>
      <c r="R35" s="46">
        <f>'[1]МРОТ с мая '!C59+'[1]МРОТ с мая '!J59</f>
        <v>6</v>
      </c>
      <c r="S35" s="51">
        <v>6</v>
      </c>
      <c r="T35" s="46">
        <f t="shared" si="0"/>
        <v>6</v>
      </c>
      <c r="U35" s="47">
        <f>[1]расходы!C36</f>
        <v>10837.150000000001</v>
      </c>
      <c r="V35" s="50">
        <v>500</v>
      </c>
      <c r="W35" s="47">
        <f>[1]расходы!D36</f>
        <v>9534.0354799999986</v>
      </c>
      <c r="X35" s="68">
        <f>[1]расходы!E36</f>
        <v>6600.65</v>
      </c>
      <c r="Y35" s="74">
        <v>110</v>
      </c>
      <c r="Z35" s="47">
        <f>[1]расходы!F36</f>
        <v>6658.6959999999999</v>
      </c>
      <c r="AA35" s="50">
        <v>735.15599999999995</v>
      </c>
      <c r="AB35" s="50">
        <v>0</v>
      </c>
      <c r="AC35" s="50">
        <v>735.15599999999995</v>
      </c>
      <c r="AD35" s="47">
        <v>0</v>
      </c>
      <c r="AE35" s="47">
        <v>0</v>
      </c>
      <c r="AF35" s="47">
        <v>0</v>
      </c>
      <c r="AG35" s="50">
        <v>5597.5820000000003</v>
      </c>
      <c r="AH35" s="50">
        <v>110</v>
      </c>
      <c r="AI35" s="50">
        <v>5597.5820000000003</v>
      </c>
      <c r="AJ35" s="50">
        <v>267.91199999999998</v>
      </c>
      <c r="AK35" s="50">
        <v>0</v>
      </c>
      <c r="AL35" s="50">
        <v>326</v>
      </c>
      <c r="AM35" s="49">
        <f>'[1]МРОТ с мая '!U59</f>
        <v>765.048</v>
      </c>
      <c r="AN35" s="50">
        <v>0</v>
      </c>
      <c r="AO35" s="47">
        <f>'[1]МРОТ с мая '!V59</f>
        <v>803.7360000000001</v>
      </c>
      <c r="AP35" s="50">
        <v>2442.9409999999998</v>
      </c>
      <c r="AQ35" s="50">
        <v>1574.374</v>
      </c>
      <c r="AR35" s="51">
        <v>2</v>
      </c>
      <c r="AS35" s="50">
        <v>98</v>
      </c>
      <c r="AT35" s="50">
        <v>98</v>
      </c>
      <c r="AU35" s="50">
        <v>0</v>
      </c>
      <c r="AV35" s="43" t="s">
        <v>159</v>
      </c>
      <c r="AW35" s="75"/>
      <c r="AX35" s="75"/>
      <c r="AZ35" s="75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76"/>
      <c r="CF35" s="43"/>
      <c r="CG35" s="43"/>
      <c r="CH35" s="43"/>
      <c r="CI35" s="43"/>
      <c r="CJ35" s="43"/>
      <c r="CK35" s="43"/>
    </row>
    <row r="36" spans="1:89" s="35" customFormat="1" ht="31.5" customHeight="1">
      <c r="A36" s="44">
        <v>18</v>
      </c>
      <c r="B36" s="72" t="s">
        <v>106</v>
      </c>
      <c r="C36" s="46">
        <f t="shared" si="4"/>
        <v>44</v>
      </c>
      <c r="D36" s="46">
        <f t="shared" si="4"/>
        <v>40</v>
      </c>
      <c r="E36" s="46">
        <f t="shared" si="4"/>
        <v>44</v>
      </c>
      <c r="F36" s="51">
        <v>3</v>
      </c>
      <c r="G36" s="51">
        <v>3</v>
      </c>
      <c r="H36" s="51">
        <v>3</v>
      </c>
      <c r="I36" s="46">
        <v>0</v>
      </c>
      <c r="J36" s="46">
        <v>0</v>
      </c>
      <c r="K36" s="46">
        <v>0</v>
      </c>
      <c r="L36" s="51">
        <v>38</v>
      </c>
      <c r="M36" s="51">
        <v>34</v>
      </c>
      <c r="N36" s="51">
        <v>38</v>
      </c>
      <c r="O36" s="51">
        <v>3</v>
      </c>
      <c r="P36" s="51">
        <v>3</v>
      </c>
      <c r="Q36" s="51">
        <v>3</v>
      </c>
      <c r="R36" s="46">
        <f>'[1]МРОТ с мая '!C60+'[1]МРОТ с мая '!J60</f>
        <v>5</v>
      </c>
      <c r="S36" s="51">
        <v>5</v>
      </c>
      <c r="T36" s="46">
        <f t="shared" si="0"/>
        <v>5</v>
      </c>
      <c r="U36" s="47">
        <f>[1]расходы!C37</f>
        <v>12876.809999999998</v>
      </c>
      <c r="V36" s="50">
        <v>200</v>
      </c>
      <c r="W36" s="47">
        <f>[1]расходы!D37</f>
        <v>15398.587022</v>
      </c>
      <c r="X36" s="68">
        <f>[1]расходы!E37</f>
        <v>9654.4599999999991</v>
      </c>
      <c r="Y36" s="74">
        <v>100</v>
      </c>
      <c r="Z36" s="47">
        <f>[1]расходы!F37</f>
        <v>9687.94</v>
      </c>
      <c r="AA36" s="50">
        <v>1179.7560000000001</v>
      </c>
      <c r="AB36" s="50">
        <v>0</v>
      </c>
      <c r="AC36" s="50">
        <v>1179.7560000000001</v>
      </c>
      <c r="AD36" s="47">
        <v>0</v>
      </c>
      <c r="AE36" s="47">
        <v>0</v>
      </c>
      <c r="AF36" s="47">
        <v>0</v>
      </c>
      <c r="AG36" s="50">
        <v>8064.2</v>
      </c>
      <c r="AH36" s="50">
        <v>100</v>
      </c>
      <c r="AI36" s="50">
        <v>8064.2</v>
      </c>
      <c r="AJ36" s="50">
        <v>410.5</v>
      </c>
      <c r="AK36" s="50">
        <v>0</v>
      </c>
      <c r="AL36" s="50">
        <v>443.9</v>
      </c>
      <c r="AM36" s="49">
        <f>'[1]МРОТ с мая '!U60</f>
        <v>636.30000000000007</v>
      </c>
      <c r="AN36" s="50">
        <v>0</v>
      </c>
      <c r="AO36" s="47">
        <f>'[1]МРОТ с мая '!V60</f>
        <v>669.78</v>
      </c>
      <c r="AP36" s="50">
        <v>1835.4</v>
      </c>
      <c r="AQ36" s="50">
        <v>489.9</v>
      </c>
      <c r="AR36" s="51">
        <v>0</v>
      </c>
      <c r="AS36" s="50"/>
      <c r="AT36" s="50"/>
      <c r="AU36" s="50"/>
      <c r="AV36" s="43"/>
      <c r="AW36" s="75"/>
      <c r="AX36" s="75"/>
      <c r="AY36" s="75"/>
      <c r="AZ36" s="75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76"/>
      <c r="CF36" s="43"/>
      <c r="CG36" s="43"/>
      <c r="CH36" s="43"/>
      <c r="CI36" s="43"/>
      <c r="CJ36" s="43"/>
      <c r="CK36" s="43"/>
    </row>
    <row r="37" spans="1:89" s="35" customFormat="1" ht="44.25" customHeight="1">
      <c r="A37" s="44">
        <v>19</v>
      </c>
      <c r="B37" s="72" t="s">
        <v>109</v>
      </c>
      <c r="C37" s="46">
        <f t="shared" si="4"/>
        <v>48</v>
      </c>
      <c r="D37" s="46">
        <f t="shared" si="4"/>
        <v>44</v>
      </c>
      <c r="E37" s="46">
        <f t="shared" si="4"/>
        <v>48</v>
      </c>
      <c r="F37" s="51">
        <v>3</v>
      </c>
      <c r="G37" s="51">
        <v>3</v>
      </c>
      <c r="H37" s="51">
        <v>3</v>
      </c>
      <c r="I37" s="46">
        <v>0</v>
      </c>
      <c r="J37" s="46">
        <v>0</v>
      </c>
      <c r="K37" s="46">
        <v>0</v>
      </c>
      <c r="L37" s="51">
        <v>39</v>
      </c>
      <c r="M37" s="51">
        <v>35</v>
      </c>
      <c r="N37" s="51">
        <v>39</v>
      </c>
      <c r="O37" s="51">
        <v>6</v>
      </c>
      <c r="P37" s="51">
        <v>6</v>
      </c>
      <c r="Q37" s="51">
        <v>6</v>
      </c>
      <c r="R37" s="46">
        <f>'[1]МРОТ с мая '!C61+'[1]МРОТ с мая '!J61</f>
        <v>11</v>
      </c>
      <c r="S37" s="51">
        <v>11</v>
      </c>
      <c r="T37" s="46">
        <f t="shared" si="0"/>
        <v>11</v>
      </c>
      <c r="U37" s="47">
        <f>[1]расходы!C38</f>
        <v>15258.030000000002</v>
      </c>
      <c r="V37" s="50">
        <v>380</v>
      </c>
      <c r="W37" s="47">
        <f>[1]расходы!D38</f>
        <v>16900.372121200002</v>
      </c>
      <c r="X37" s="68">
        <f>[1]расходы!E38</f>
        <v>10182.25</v>
      </c>
      <c r="Y37" s="74">
        <v>38</v>
      </c>
      <c r="Z37" s="47">
        <f>[1]расходы!F38</f>
        <v>10305.019600000001</v>
      </c>
      <c r="AA37" s="50">
        <v>980.41300000000001</v>
      </c>
      <c r="AB37" s="50">
        <v>0</v>
      </c>
      <c r="AC37" s="50">
        <v>980.41300000000001</v>
      </c>
      <c r="AD37" s="47">
        <v>0</v>
      </c>
      <c r="AE37" s="47">
        <v>0</v>
      </c>
      <c r="AF37" s="47">
        <v>0</v>
      </c>
      <c r="AG37" s="50">
        <v>8398.1</v>
      </c>
      <c r="AH37" s="50">
        <v>38</v>
      </c>
      <c r="AI37" s="50">
        <v>8398.1</v>
      </c>
      <c r="AJ37" s="50">
        <v>803.7</v>
      </c>
      <c r="AK37" s="50">
        <v>0</v>
      </c>
      <c r="AL37" s="50">
        <v>926.5</v>
      </c>
      <c r="AM37" s="49">
        <f>'[1]МРОТ с мая '!U61</f>
        <v>1498.0944000000002</v>
      </c>
      <c r="AN37" s="50">
        <v>0</v>
      </c>
      <c r="AO37" s="47">
        <f>'[1]МРОТ с мая '!V61</f>
        <v>1620.8676000000003</v>
      </c>
      <c r="AP37" s="50">
        <v>4633.9830000000002</v>
      </c>
      <c r="AQ37" s="50">
        <v>1565.616</v>
      </c>
      <c r="AR37" s="51">
        <v>2</v>
      </c>
      <c r="AS37" s="50">
        <v>452.6</v>
      </c>
      <c r="AT37" s="50">
        <v>452.6</v>
      </c>
      <c r="AU37" s="50"/>
      <c r="AV37" s="43" t="s">
        <v>166</v>
      </c>
      <c r="AW37" s="75"/>
      <c r="AX37" s="75"/>
      <c r="AY37" s="75"/>
      <c r="AZ37" s="75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</row>
    <row r="38" spans="1:89" s="35" customFormat="1" ht="31.5" customHeight="1">
      <c r="A38" s="44">
        <v>20</v>
      </c>
      <c r="B38" s="72" t="s">
        <v>112</v>
      </c>
      <c r="C38" s="46">
        <f>F38+I38+L38+O38</f>
        <v>140</v>
      </c>
      <c r="D38" s="46">
        <f t="shared" si="4"/>
        <v>136</v>
      </c>
      <c r="E38" s="46">
        <f t="shared" si="4"/>
        <v>140</v>
      </c>
      <c r="F38" s="51">
        <v>5</v>
      </c>
      <c r="G38" s="51">
        <v>5</v>
      </c>
      <c r="H38" s="51">
        <v>5</v>
      </c>
      <c r="I38" s="51">
        <v>1</v>
      </c>
      <c r="J38" s="51">
        <v>1</v>
      </c>
      <c r="K38" s="51">
        <v>1</v>
      </c>
      <c r="L38" s="51">
        <v>115</v>
      </c>
      <c r="M38" s="51">
        <v>112</v>
      </c>
      <c r="N38" s="51">
        <v>115</v>
      </c>
      <c r="O38" s="51">
        <v>19</v>
      </c>
      <c r="P38" s="51">
        <v>18</v>
      </c>
      <c r="Q38" s="51">
        <v>19</v>
      </c>
      <c r="R38" s="46">
        <f>'[1]МРОТ с мая '!C62+'[1]МРОТ с мая '!J62</f>
        <v>20</v>
      </c>
      <c r="S38" s="51">
        <v>18</v>
      </c>
      <c r="T38" s="46">
        <f t="shared" si="0"/>
        <v>20</v>
      </c>
      <c r="U38" s="47">
        <f>[1]расходы!C39</f>
        <v>62935.670000000006</v>
      </c>
      <c r="V38" s="50">
        <v>9200</v>
      </c>
      <c r="W38" s="47">
        <f>[1]расходы!D39</f>
        <v>79361.970953800017</v>
      </c>
      <c r="X38" s="68">
        <f>[1]расходы!E39</f>
        <v>46999.33</v>
      </c>
      <c r="Y38" s="74">
        <v>2400</v>
      </c>
      <c r="Z38" s="47">
        <f>[1]расходы!F39</f>
        <v>47057.892000000007</v>
      </c>
      <c r="AA38" s="50">
        <v>3091.4160000000002</v>
      </c>
      <c r="AB38" s="50">
        <v>2400</v>
      </c>
      <c r="AC38" s="50">
        <v>3091.4160000000002</v>
      </c>
      <c r="AD38" s="50">
        <v>290.39999999999998</v>
      </c>
      <c r="AE38" s="50">
        <v>0</v>
      </c>
      <c r="AF38" s="50">
        <v>290.39999999999998</v>
      </c>
      <c r="AG38" s="50">
        <v>40999.800000000003</v>
      </c>
      <c r="AH38" s="50">
        <v>0</v>
      </c>
      <c r="AI38" s="50">
        <v>40999.800000000003</v>
      </c>
      <c r="AJ38" s="50">
        <v>2617.8000000000002</v>
      </c>
      <c r="AK38" s="50">
        <v>0</v>
      </c>
      <c r="AL38" s="50">
        <v>2676.3</v>
      </c>
      <c r="AM38" s="49">
        <f>'[1]МРОТ с мая '!U62</f>
        <v>2561.9920000000002</v>
      </c>
      <c r="AN38" s="50">
        <v>0</v>
      </c>
      <c r="AO38" s="47">
        <f>'[1]МРОТ с мая '!V62</f>
        <v>2679.12</v>
      </c>
      <c r="AP38" s="50">
        <v>19411.3</v>
      </c>
      <c r="AQ38" s="78">
        <v>5161.6000000000004</v>
      </c>
      <c r="AR38" s="79">
        <v>5</v>
      </c>
      <c r="AS38" s="50">
        <v>908</v>
      </c>
      <c r="AT38" s="50">
        <v>908</v>
      </c>
      <c r="AU38" s="50"/>
      <c r="AV38" s="43" t="s">
        <v>159</v>
      </c>
      <c r="AW38" s="75"/>
      <c r="AX38" s="75"/>
      <c r="AY38" s="75"/>
      <c r="AZ38" s="75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</row>
    <row r="39" spans="1:89" s="35" customFormat="1" ht="17.25" customHeight="1">
      <c r="A39" s="44">
        <v>21</v>
      </c>
      <c r="B39" s="72" t="s">
        <v>115</v>
      </c>
      <c r="C39" s="46">
        <f t="shared" si="4"/>
        <v>10</v>
      </c>
      <c r="D39" s="46">
        <f t="shared" si="4"/>
        <v>10</v>
      </c>
      <c r="E39" s="46">
        <f t="shared" si="4"/>
        <v>10</v>
      </c>
      <c r="F39" s="51">
        <v>3</v>
      </c>
      <c r="G39" s="51">
        <v>3</v>
      </c>
      <c r="H39" s="51">
        <v>3</v>
      </c>
      <c r="I39" s="51">
        <v>0</v>
      </c>
      <c r="J39" s="51">
        <v>0</v>
      </c>
      <c r="K39" s="51">
        <v>0</v>
      </c>
      <c r="L39" s="51">
        <v>6</v>
      </c>
      <c r="M39" s="51">
        <v>6</v>
      </c>
      <c r="N39" s="51">
        <v>6</v>
      </c>
      <c r="O39" s="51">
        <v>1</v>
      </c>
      <c r="P39" s="51">
        <v>1</v>
      </c>
      <c r="Q39" s="51">
        <v>1</v>
      </c>
      <c r="R39" s="46">
        <f>'[1]МРОТ с мая '!C63+'[1]МРОТ с мая '!J63</f>
        <v>2</v>
      </c>
      <c r="S39" s="51">
        <v>2</v>
      </c>
      <c r="T39" s="46">
        <f t="shared" si="0"/>
        <v>2</v>
      </c>
      <c r="U39" s="47">
        <f>[1]расходы!C40</f>
        <v>7612.7099999999991</v>
      </c>
      <c r="V39" s="50">
        <v>600</v>
      </c>
      <c r="W39" s="47">
        <f>[1]расходы!D40</f>
        <v>25029.754376999997</v>
      </c>
      <c r="X39" s="68">
        <f>[1]расходы!E40</f>
        <v>2010.58</v>
      </c>
      <c r="Y39" s="74">
        <v>60</v>
      </c>
      <c r="Z39" s="47">
        <f>[1]расходы!F40</f>
        <v>2023.9759999999999</v>
      </c>
      <c r="AA39" s="50">
        <v>879</v>
      </c>
      <c r="AB39" s="50">
        <v>30</v>
      </c>
      <c r="AC39" s="50">
        <v>879</v>
      </c>
      <c r="AD39" s="50">
        <v>0</v>
      </c>
      <c r="AE39" s="50">
        <v>0</v>
      </c>
      <c r="AF39" s="50">
        <v>0</v>
      </c>
      <c r="AG39" s="50">
        <v>992.4</v>
      </c>
      <c r="AH39" s="50">
        <v>30</v>
      </c>
      <c r="AI39" s="50">
        <v>1005.8</v>
      </c>
      <c r="AJ39" s="50">
        <v>139.17599999999999</v>
      </c>
      <c r="AK39" s="50">
        <v>0</v>
      </c>
      <c r="AL39" s="50">
        <v>139.17599999999999</v>
      </c>
      <c r="AM39" s="49">
        <f>'[1]МРОТ с мая '!U63</f>
        <v>254.51999999999998</v>
      </c>
      <c r="AN39" s="50">
        <v>0</v>
      </c>
      <c r="AO39" s="47">
        <f>'[1]МРОТ с мая '!V63</f>
        <v>267.91200000000003</v>
      </c>
      <c r="AP39" s="50">
        <v>8901.3150000000005</v>
      </c>
      <c r="AQ39" s="78">
        <v>3695.6869999999999</v>
      </c>
      <c r="AR39" s="79">
        <v>0</v>
      </c>
      <c r="AS39" s="50"/>
      <c r="AT39" s="50"/>
      <c r="AU39" s="50"/>
      <c r="AV39" s="43"/>
      <c r="AW39" s="75"/>
      <c r="AX39" s="75"/>
      <c r="AY39" s="75"/>
      <c r="AZ39" s="75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</row>
    <row r="40" spans="1:89" s="35" customFormat="1" ht="31.5" customHeight="1">
      <c r="A40" s="44">
        <v>22</v>
      </c>
      <c r="B40" s="72" t="s">
        <v>118</v>
      </c>
      <c r="C40" s="46">
        <f t="shared" si="4"/>
        <v>40</v>
      </c>
      <c r="D40" s="46">
        <f t="shared" si="4"/>
        <v>34</v>
      </c>
      <c r="E40" s="46">
        <f t="shared" si="4"/>
        <v>40</v>
      </c>
      <c r="F40" s="51">
        <v>3</v>
      </c>
      <c r="G40" s="51">
        <v>3</v>
      </c>
      <c r="H40" s="51">
        <v>3</v>
      </c>
      <c r="I40" s="51">
        <v>0</v>
      </c>
      <c r="J40" s="51">
        <v>0</v>
      </c>
      <c r="K40" s="51">
        <v>0</v>
      </c>
      <c r="L40" s="51">
        <v>34</v>
      </c>
      <c r="M40" s="51">
        <v>28</v>
      </c>
      <c r="N40" s="51">
        <v>34</v>
      </c>
      <c r="O40" s="51">
        <v>3</v>
      </c>
      <c r="P40" s="51">
        <v>3</v>
      </c>
      <c r="Q40" s="51">
        <v>3</v>
      </c>
      <c r="R40" s="46">
        <f>'[1]МРОТ с мая '!C64+'[1]МРОТ с мая '!J64</f>
        <v>6</v>
      </c>
      <c r="S40" s="51">
        <v>5</v>
      </c>
      <c r="T40" s="46">
        <f t="shared" si="0"/>
        <v>6</v>
      </c>
      <c r="U40" s="47">
        <f>[1]расходы!C41</f>
        <v>9817.17</v>
      </c>
      <c r="V40" s="50">
        <v>425</v>
      </c>
      <c r="W40" s="47">
        <f>[1]расходы!D41</f>
        <v>12956.417455999999</v>
      </c>
      <c r="X40" s="68">
        <f>[1]расходы!E41</f>
        <v>7125.35</v>
      </c>
      <c r="Y40" s="74">
        <v>282.72000000000003</v>
      </c>
      <c r="Z40" s="47">
        <f>[1]расходы!F41</f>
        <v>7165.5280000000002</v>
      </c>
      <c r="AA40" s="50">
        <v>744.45600000000002</v>
      </c>
      <c r="AB40" s="50">
        <v>0</v>
      </c>
      <c r="AC40" s="50">
        <v>744.45600000000002</v>
      </c>
      <c r="AD40" s="50">
        <v>0</v>
      </c>
      <c r="AE40" s="50">
        <v>0</v>
      </c>
      <c r="AF40" s="50">
        <v>0</v>
      </c>
      <c r="AG40" s="50">
        <v>5966.6</v>
      </c>
      <c r="AH40" s="50">
        <v>282.72000000000003</v>
      </c>
      <c r="AI40" s="50">
        <v>5966.6</v>
      </c>
      <c r="AJ40" s="50">
        <v>414.3</v>
      </c>
      <c r="AK40" s="50">
        <v>0</v>
      </c>
      <c r="AL40" s="50">
        <v>454.4</v>
      </c>
      <c r="AM40" s="49">
        <f>'[1]МРОТ с мая '!U64</f>
        <v>763.56000000000006</v>
      </c>
      <c r="AN40" s="50">
        <v>0</v>
      </c>
      <c r="AO40" s="47">
        <f>'[1]МРОТ с мая '!V64</f>
        <v>803.7360000000001</v>
      </c>
      <c r="AP40" s="50">
        <v>1450.8579999999999</v>
      </c>
      <c r="AQ40" s="78">
        <v>0</v>
      </c>
      <c r="AR40" s="79">
        <v>0</v>
      </c>
      <c r="AS40" s="50"/>
      <c r="AT40" s="50"/>
      <c r="AU40" s="50"/>
      <c r="AV40" s="43"/>
      <c r="AW40" s="75"/>
      <c r="AX40" s="75"/>
      <c r="AY40" s="75"/>
      <c r="AZ40" s="75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</row>
    <row r="41" spans="1:89" s="35" customFormat="1" ht="31.5" customHeight="1">
      <c r="A41" s="44">
        <v>23</v>
      </c>
      <c r="B41" s="72" t="s">
        <v>121</v>
      </c>
      <c r="C41" s="46">
        <f t="shared" si="4"/>
        <v>24</v>
      </c>
      <c r="D41" s="46">
        <f t="shared" si="4"/>
        <v>23</v>
      </c>
      <c r="E41" s="46">
        <f t="shared" si="4"/>
        <v>24</v>
      </c>
      <c r="F41" s="51">
        <v>3</v>
      </c>
      <c r="G41" s="51">
        <v>3</v>
      </c>
      <c r="H41" s="51">
        <v>3</v>
      </c>
      <c r="I41" s="51">
        <v>0</v>
      </c>
      <c r="J41" s="51">
        <v>0</v>
      </c>
      <c r="K41" s="51">
        <v>0</v>
      </c>
      <c r="L41" s="51">
        <v>18</v>
      </c>
      <c r="M41" s="51">
        <v>17</v>
      </c>
      <c r="N41" s="51">
        <v>18</v>
      </c>
      <c r="O41" s="51">
        <v>3</v>
      </c>
      <c r="P41" s="51">
        <v>3</v>
      </c>
      <c r="Q41" s="51">
        <v>3</v>
      </c>
      <c r="R41" s="46">
        <f>'[1]МРОТ с мая '!C65+'[1]МРОТ с мая '!J65</f>
        <v>4</v>
      </c>
      <c r="S41" s="51">
        <v>4</v>
      </c>
      <c r="T41" s="46">
        <f t="shared" si="0"/>
        <v>4</v>
      </c>
      <c r="U41" s="47">
        <f>[1]расходы!C42</f>
        <v>8052.92</v>
      </c>
      <c r="V41" s="50">
        <v>235</v>
      </c>
      <c r="W41" s="47">
        <f>[1]расходы!D42</f>
        <v>11149.937159679999</v>
      </c>
      <c r="X41" s="68">
        <f>[1]расходы!E42</f>
        <v>5858.72</v>
      </c>
      <c r="Y41" s="74">
        <v>20</v>
      </c>
      <c r="Z41" s="47">
        <f>[1]расходы!F42</f>
        <v>5914.0838399999993</v>
      </c>
      <c r="AA41" s="50">
        <v>871.05600000000004</v>
      </c>
      <c r="AB41" s="50">
        <v>0</v>
      </c>
      <c r="AC41" s="50">
        <v>871.05600000000004</v>
      </c>
      <c r="AD41" s="50">
        <v>0</v>
      </c>
      <c r="AE41" s="50">
        <v>0</v>
      </c>
      <c r="AF41" s="50">
        <v>0</v>
      </c>
      <c r="AG41" s="50">
        <v>4585.7960000000003</v>
      </c>
      <c r="AH41" s="50">
        <v>16</v>
      </c>
      <c r="AI41" s="50">
        <v>4585.8</v>
      </c>
      <c r="AJ41" s="50">
        <v>401.86799999999999</v>
      </c>
      <c r="AK41" s="50">
        <v>4</v>
      </c>
      <c r="AL41" s="50">
        <v>457.2</v>
      </c>
      <c r="AM41" s="49">
        <f>'[1]МРОТ с мая '!U65</f>
        <v>566.19455999999991</v>
      </c>
      <c r="AN41" s="50">
        <v>0</v>
      </c>
      <c r="AO41" s="47">
        <f>'[1]МРОТ с мая '!V65</f>
        <v>621.55583999999999</v>
      </c>
      <c r="AP41" s="50">
        <v>325.07100000000003</v>
      </c>
      <c r="AQ41" s="50">
        <v>0</v>
      </c>
      <c r="AR41" s="51">
        <v>0</v>
      </c>
      <c r="AS41" s="50">
        <v>0</v>
      </c>
      <c r="AT41" s="50">
        <v>0</v>
      </c>
      <c r="AU41" s="50">
        <v>981</v>
      </c>
      <c r="AV41" s="43" t="s">
        <v>159</v>
      </c>
      <c r="AW41" s="75"/>
      <c r="AX41" s="75"/>
      <c r="AY41" s="75"/>
      <c r="AZ41" s="75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</row>
    <row r="42" spans="1:89" s="82" customFormat="1" ht="15" customHeight="1">
      <c r="A42" s="80"/>
      <c r="B42" s="63" t="s">
        <v>124</v>
      </c>
      <c r="C42" s="64">
        <f t="shared" ref="C42:AU42" si="5">SUM(C19:C41)</f>
        <v>2383</v>
      </c>
      <c r="D42" s="64">
        <f t="shared" si="5"/>
        <v>1976.5</v>
      </c>
      <c r="E42" s="64">
        <f t="shared" si="5"/>
        <v>2383</v>
      </c>
      <c r="F42" s="64">
        <f t="shared" si="5"/>
        <v>92</v>
      </c>
      <c r="G42" s="64">
        <f t="shared" si="5"/>
        <v>91</v>
      </c>
      <c r="H42" s="64">
        <f t="shared" si="5"/>
        <v>92</v>
      </c>
      <c r="I42" s="64">
        <f t="shared" si="5"/>
        <v>1</v>
      </c>
      <c r="J42" s="64">
        <f t="shared" si="5"/>
        <v>1</v>
      </c>
      <c r="K42" s="64">
        <f t="shared" si="5"/>
        <v>1</v>
      </c>
      <c r="L42" s="64">
        <f t="shared" si="5"/>
        <v>1771</v>
      </c>
      <c r="M42" s="64">
        <f t="shared" si="5"/>
        <v>1426.5</v>
      </c>
      <c r="N42" s="64">
        <f t="shared" si="5"/>
        <v>1771</v>
      </c>
      <c r="O42" s="64">
        <f t="shared" si="5"/>
        <v>538</v>
      </c>
      <c r="P42" s="64">
        <f t="shared" si="5"/>
        <v>458</v>
      </c>
      <c r="Q42" s="64">
        <f t="shared" si="5"/>
        <v>538</v>
      </c>
      <c r="R42" s="64">
        <f t="shared" si="5"/>
        <v>782</v>
      </c>
      <c r="S42" s="64">
        <f t="shared" si="5"/>
        <v>601</v>
      </c>
      <c r="T42" s="64">
        <f t="shared" si="5"/>
        <v>782</v>
      </c>
      <c r="U42" s="65">
        <f t="shared" si="5"/>
        <v>724193.3158000001</v>
      </c>
      <c r="V42" s="65">
        <f t="shared" si="5"/>
        <v>47899</v>
      </c>
      <c r="W42" s="65">
        <f t="shared" si="5"/>
        <v>943476.72714949003</v>
      </c>
      <c r="X42" s="65">
        <f t="shared" si="5"/>
        <v>489146.72999999992</v>
      </c>
      <c r="Y42" s="65">
        <f t="shared" si="5"/>
        <v>7232.1500000000005</v>
      </c>
      <c r="Z42" s="65">
        <f t="shared" si="5"/>
        <v>494767.37577302614</v>
      </c>
      <c r="AA42" s="65">
        <f t="shared" si="5"/>
        <v>39662.884999999987</v>
      </c>
      <c r="AB42" s="65">
        <f t="shared" si="5"/>
        <v>2675</v>
      </c>
      <c r="AC42" s="65">
        <f t="shared" si="5"/>
        <v>39662.884999999987</v>
      </c>
      <c r="AD42" s="65">
        <f t="shared" si="5"/>
        <v>290.39999999999998</v>
      </c>
      <c r="AE42" s="65">
        <f t="shared" si="5"/>
        <v>0</v>
      </c>
      <c r="AF42" s="65">
        <f t="shared" si="5"/>
        <v>290.39999999999998</v>
      </c>
      <c r="AG42" s="65">
        <f t="shared" si="5"/>
        <v>379867.79799999995</v>
      </c>
      <c r="AH42" s="65">
        <f t="shared" si="5"/>
        <v>4478.1500000000005</v>
      </c>
      <c r="AI42" s="65">
        <f t="shared" si="5"/>
        <v>381890.48199999996</v>
      </c>
      <c r="AJ42" s="65">
        <f t="shared" si="5"/>
        <v>69275.45600000002</v>
      </c>
      <c r="AK42" s="65">
        <f t="shared" si="5"/>
        <v>79</v>
      </c>
      <c r="AL42" s="65">
        <f t="shared" si="5"/>
        <v>72923.576000000001</v>
      </c>
      <c r="AM42" s="65">
        <f t="shared" si="5"/>
        <v>100038.409122212</v>
      </c>
      <c r="AN42" s="65">
        <f t="shared" si="5"/>
        <v>0</v>
      </c>
      <c r="AO42" s="65">
        <f t="shared" si="5"/>
        <v>105308.16984000003</v>
      </c>
      <c r="AP42" s="65">
        <f t="shared" si="5"/>
        <v>990624.93200000015</v>
      </c>
      <c r="AQ42" s="65">
        <f t="shared" si="5"/>
        <v>386895.64899999998</v>
      </c>
      <c r="AR42" s="64">
        <f t="shared" si="5"/>
        <v>83</v>
      </c>
      <c r="AS42" s="65">
        <f t="shared" si="5"/>
        <v>37019.659999999996</v>
      </c>
      <c r="AT42" s="65">
        <f t="shared" si="5"/>
        <v>33733.759999999995</v>
      </c>
      <c r="AU42" s="65">
        <f t="shared" si="5"/>
        <v>33164.199999999997</v>
      </c>
      <c r="AV42" s="64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</row>
    <row r="43" spans="1:89" s="35" customFormat="1" ht="15">
      <c r="A43" s="63"/>
      <c r="B43" s="63" t="s">
        <v>125</v>
      </c>
      <c r="C43" s="83">
        <f t="shared" ref="C43:AU43" si="6">C42+C18+C14+C8</f>
        <v>3451.5</v>
      </c>
      <c r="D43" s="83">
        <f t="shared" si="6"/>
        <v>2909.5</v>
      </c>
      <c r="E43" s="83">
        <f t="shared" si="6"/>
        <v>3451.5</v>
      </c>
      <c r="F43" s="83">
        <f t="shared" si="6"/>
        <v>142</v>
      </c>
      <c r="G43" s="83">
        <f t="shared" si="6"/>
        <v>141</v>
      </c>
      <c r="H43" s="83">
        <f t="shared" si="6"/>
        <v>142</v>
      </c>
      <c r="I43" s="83">
        <f t="shared" si="6"/>
        <v>1</v>
      </c>
      <c r="J43" s="83">
        <f t="shared" si="6"/>
        <v>1</v>
      </c>
      <c r="K43" s="83">
        <f t="shared" si="6"/>
        <v>1</v>
      </c>
      <c r="L43" s="83">
        <f t="shared" si="6"/>
        <v>2492.5</v>
      </c>
      <c r="M43" s="83">
        <f t="shared" si="6"/>
        <v>2068</v>
      </c>
      <c r="N43" s="83">
        <f t="shared" si="6"/>
        <v>2492.5</v>
      </c>
      <c r="O43" s="83">
        <f t="shared" si="6"/>
        <v>835</v>
      </c>
      <c r="P43" s="83">
        <f t="shared" si="6"/>
        <v>699.5</v>
      </c>
      <c r="Q43" s="83">
        <f t="shared" si="6"/>
        <v>835</v>
      </c>
      <c r="R43" s="83">
        <f t="shared" si="6"/>
        <v>1088</v>
      </c>
      <c r="S43" s="83">
        <f t="shared" si="6"/>
        <v>898.5</v>
      </c>
      <c r="T43" s="83">
        <f t="shared" si="6"/>
        <v>1088</v>
      </c>
      <c r="U43" s="84">
        <f t="shared" si="6"/>
        <v>1081179.1724240002</v>
      </c>
      <c r="V43" s="84">
        <f t="shared" si="6"/>
        <v>52748.897000000004</v>
      </c>
      <c r="W43" s="84">
        <f t="shared" si="6"/>
        <v>1473083.2926662921</v>
      </c>
      <c r="X43" s="84">
        <f t="shared" si="6"/>
        <v>713442.13499999978</v>
      </c>
      <c r="Y43" s="84">
        <f t="shared" si="6"/>
        <v>7737.22</v>
      </c>
      <c r="Z43" s="84">
        <f t="shared" si="6"/>
        <v>720291.98506109975</v>
      </c>
      <c r="AA43" s="84">
        <f t="shared" si="6"/>
        <v>60152.18499999999</v>
      </c>
      <c r="AB43" s="84">
        <f t="shared" si="6"/>
        <v>2675</v>
      </c>
      <c r="AC43" s="84">
        <f t="shared" si="6"/>
        <v>60152.18499999999</v>
      </c>
      <c r="AD43" s="84">
        <f t="shared" si="6"/>
        <v>290.39999999999998</v>
      </c>
      <c r="AE43" s="84">
        <f t="shared" si="6"/>
        <v>0</v>
      </c>
      <c r="AF43" s="84">
        <f t="shared" si="6"/>
        <v>290.39999999999998</v>
      </c>
      <c r="AG43" s="84">
        <f t="shared" si="6"/>
        <v>539671.53199999989</v>
      </c>
      <c r="AH43" s="84">
        <f t="shared" si="6"/>
        <v>4983.22</v>
      </c>
      <c r="AI43" s="84">
        <f t="shared" si="6"/>
        <v>542386.27399999998</v>
      </c>
      <c r="AJ43" s="84">
        <f t="shared" si="6"/>
        <v>113278.13300000002</v>
      </c>
      <c r="AK43" s="84">
        <f t="shared" si="6"/>
        <v>79</v>
      </c>
      <c r="AL43" s="84">
        <f t="shared" si="6"/>
        <v>117464.03599999999</v>
      </c>
      <c r="AM43" s="84">
        <f t="shared" si="6"/>
        <v>139472.45224221199</v>
      </c>
      <c r="AN43" s="84">
        <f t="shared" si="6"/>
        <v>0</v>
      </c>
      <c r="AO43" s="84">
        <f t="shared" si="6"/>
        <v>146905.52652000004</v>
      </c>
      <c r="AP43" s="84">
        <f t="shared" si="6"/>
        <v>1318929.0862900002</v>
      </c>
      <c r="AQ43" s="84">
        <f t="shared" si="6"/>
        <v>513052.86301999999</v>
      </c>
      <c r="AR43" s="83">
        <f t="shared" si="6"/>
        <v>95</v>
      </c>
      <c r="AS43" s="84">
        <f t="shared" si="6"/>
        <v>67135.959999999992</v>
      </c>
      <c r="AT43" s="84">
        <f t="shared" si="6"/>
        <v>54051.96</v>
      </c>
      <c r="AU43" s="84">
        <f t="shared" si="6"/>
        <v>49767.25</v>
      </c>
      <c r="AV43" s="83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</row>
    <row r="44" spans="1:89" s="35" customFormat="1" ht="15">
      <c r="X44" s="74"/>
      <c r="Y44" s="37"/>
      <c r="Z44" s="37"/>
      <c r="AA44" s="37"/>
      <c r="AB44" s="37"/>
      <c r="AC44" s="37"/>
      <c r="AD44" s="37"/>
      <c r="AE44" s="37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</row>
    <row r="45" spans="1:89" s="35" customFormat="1" ht="15">
      <c r="D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X45" s="37"/>
      <c r="Z45" s="37"/>
      <c r="AA45" s="37"/>
      <c r="AB45" s="37"/>
      <c r="AC45" s="37"/>
      <c r="AE45" s="37"/>
      <c r="AF45" s="37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</row>
    <row r="46" spans="1:89" s="35" customFormat="1" ht="15"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</row>
  </sheetData>
  <mergeCells count="62">
    <mergeCell ref="O6:P6"/>
    <mergeCell ref="R6:S6"/>
    <mergeCell ref="F6:G6"/>
    <mergeCell ref="I6:J6"/>
    <mergeCell ref="A4:A7"/>
    <mergeCell ref="B4:B7"/>
    <mergeCell ref="C4:E5"/>
    <mergeCell ref="F4:N4"/>
    <mergeCell ref="C2:U2"/>
    <mergeCell ref="U4:W5"/>
    <mergeCell ref="U6:V6"/>
    <mergeCell ref="O4:T4"/>
    <mergeCell ref="C6:D6"/>
    <mergeCell ref="L6:M6"/>
    <mergeCell ref="AM5:AO5"/>
    <mergeCell ref="AQ4:AQ7"/>
    <mergeCell ref="AD6:AE6"/>
    <mergeCell ref="X4:Z5"/>
    <mergeCell ref="AA4:AI4"/>
    <mergeCell ref="X6:Y6"/>
    <mergeCell ref="AA6:AB6"/>
    <mergeCell ref="AG6:AH6"/>
    <mergeCell ref="BG4:BH5"/>
    <mergeCell ref="BI4:BJ5"/>
    <mergeCell ref="AS4:AS7"/>
    <mergeCell ref="AT4:AT7"/>
    <mergeCell ref="AJ4:AO4"/>
    <mergeCell ref="AP4:AP7"/>
    <mergeCell ref="AJ6:AK6"/>
    <mergeCell ref="AM6:AN6"/>
    <mergeCell ref="AR4:AR7"/>
    <mergeCell ref="AJ5:AL5"/>
    <mergeCell ref="BO4:BP5"/>
    <mergeCell ref="BQ4:BR5"/>
    <mergeCell ref="CH4:CH5"/>
    <mergeCell ref="AU4:AU7"/>
    <mergeCell ref="BK4:BL5"/>
    <mergeCell ref="BA4:BB5"/>
    <mergeCell ref="AY4:AZ5"/>
    <mergeCell ref="BW4:BX5"/>
    <mergeCell ref="BC4:BD5"/>
    <mergeCell ref="BE4:BF5"/>
    <mergeCell ref="CK4:CK5"/>
    <mergeCell ref="CL4:CL5"/>
    <mergeCell ref="F5:H5"/>
    <mergeCell ref="I5:K5"/>
    <mergeCell ref="L5:N5"/>
    <mergeCell ref="O5:Q5"/>
    <mergeCell ref="R5:T5"/>
    <mergeCell ref="AA5:AC5"/>
    <mergeCell ref="AD5:AF5"/>
    <mergeCell ref="BZ4:CD4"/>
    <mergeCell ref="CI4:CI5"/>
    <mergeCell ref="CJ4:CJ5"/>
    <mergeCell ref="AG5:AI5"/>
    <mergeCell ref="BU4:BV5"/>
    <mergeCell ref="AV4:AV7"/>
    <mergeCell ref="AW4:AX5"/>
    <mergeCell ref="CE4:CF5"/>
    <mergeCell ref="CG4:CG5"/>
    <mergeCell ref="BM4:BN5"/>
    <mergeCell ref="BS4:BT5"/>
  </mergeCells>
  <phoneticPr fontId="0" type="noConversion"/>
  <pageMargins left="0" right="0" top="0.98425196850393704" bottom="0.98425196850393704" header="0.51181102362204722" footer="0.51181102362204722"/>
  <pageSetup paperSize="9" scale="47" orientation="landscape" r:id="rId1"/>
  <headerFooter alignWithMargins="0"/>
  <colBreaks count="2" manualBreakCount="2">
    <brk id="23" max="51" man="1"/>
    <brk id="4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расходы</vt:lpstr>
      <vt:lpstr>численность</vt:lpstr>
      <vt:lpstr>расходы!Заголовки_для_печати</vt:lpstr>
      <vt:lpstr>численность!Заголовки_для_печати</vt:lpstr>
      <vt:lpstr>расходы!Область_печати</vt:lpstr>
      <vt:lpstr>численность!Область_печати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ofss4</cp:lastModifiedBy>
  <cp:lastPrinted>2018-09-06T07:09:59Z</cp:lastPrinted>
  <dcterms:created xsi:type="dcterms:W3CDTF">2018-08-15T07:13:13Z</dcterms:created>
  <dcterms:modified xsi:type="dcterms:W3CDTF">2018-09-19T07:55:30Z</dcterms:modified>
</cp:coreProperties>
</file>